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rchbalt-my.sharepoint.com/personal/jane_andrews_archbalt_org/Documents/Handy Hyperlinks/"/>
    </mc:Choice>
  </mc:AlternateContent>
  <xr:revisionPtr revIDLastSave="37" documentId="13_ncr:1_{D07B9A38-5E5B-42C5-8595-6B1605E9BAD7}" xr6:coauthVersionLast="47" xr6:coauthVersionMax="47" xr10:uidLastSave="{BD61F1F4-8B7C-4ABC-A950-D561BABA3A56}"/>
  <bookViews>
    <workbookView xWindow="-28920" yWindow="1710" windowWidth="29040" windowHeight="15720" xr2:uid="{00000000-000D-0000-FFFF-FFFF00000000}"/>
  </bookViews>
  <sheets>
    <sheet name="July" sheetId="13" r:id="rId1"/>
    <sheet name="August" sheetId="12" r:id="rId2"/>
    <sheet name="Q1" sheetId="3" r:id="rId3"/>
    <sheet name="October" sheetId="6" r:id="rId4"/>
    <sheet name="November" sheetId="7" r:id="rId5"/>
    <sheet name="Q2" sheetId="4" r:id="rId6"/>
    <sheet name="January" sheetId="8" r:id="rId7"/>
    <sheet name="February" sheetId="9" r:id="rId8"/>
    <sheet name="Q3" sheetId="5" r:id="rId9"/>
    <sheet name="April" sheetId="10" r:id="rId10"/>
    <sheet name="May" sheetId="11" r:id="rId11"/>
    <sheet name="Annual Cath" sheetId="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2" l="1"/>
  <c r="F52" i="11"/>
  <c r="F54" i="11"/>
  <c r="F52" i="5"/>
  <c r="F54" i="5"/>
  <c r="F52" i="9"/>
  <c r="F54" i="9" s="1"/>
  <c r="F52" i="8"/>
  <c r="F54" i="8" s="1"/>
  <c r="F52" i="7"/>
  <c r="F52" i="4"/>
  <c r="F54" i="4"/>
  <c r="F54" i="7"/>
  <c r="F52" i="6"/>
  <c r="F54" i="6" s="1"/>
  <c r="F52" i="10"/>
  <c r="F52" i="3"/>
  <c r="F54" i="3"/>
  <c r="F54" i="12"/>
  <c r="F52" i="12"/>
  <c r="D38" i="12"/>
  <c r="D45" i="12" s="1"/>
  <c r="D47" i="13"/>
  <c r="D38" i="13"/>
  <c r="D48" i="13"/>
  <c r="D45" i="13"/>
  <c r="D46" i="13" s="1"/>
  <c r="D34" i="12"/>
  <c r="D31" i="12"/>
  <c r="D28" i="12"/>
  <c r="D36" i="12" s="1"/>
  <c r="D23" i="12"/>
  <c r="D20" i="12"/>
  <c r="D17" i="12"/>
  <c r="D14" i="12"/>
  <c r="D34" i="13"/>
  <c r="D36" i="13" s="1"/>
  <c r="D31" i="13"/>
  <c r="D28" i="13"/>
  <c r="D23" i="13"/>
  <c r="D20" i="13"/>
  <c r="D17" i="13"/>
  <c r="D14" i="13"/>
  <c r="D48" i="10"/>
  <c r="D48" i="11"/>
  <c r="D47" i="11"/>
  <c r="D46" i="11"/>
  <c r="D45" i="11"/>
  <c r="D34" i="11"/>
  <c r="D31" i="11"/>
  <c r="D28" i="11"/>
  <c r="D36" i="11" s="1"/>
  <c r="D38" i="11" s="1"/>
  <c r="D23" i="11"/>
  <c r="D20" i="11"/>
  <c r="D17" i="11"/>
  <c r="D14" i="11"/>
  <c r="D47" i="10"/>
  <c r="D46" i="10"/>
  <c r="D45" i="10"/>
  <c r="D34" i="10"/>
  <c r="D31" i="10"/>
  <c r="D28" i="10"/>
  <c r="D36" i="10" s="1"/>
  <c r="D38" i="10" s="1"/>
  <c r="D23" i="10"/>
  <c r="D20" i="10"/>
  <c r="D17" i="10"/>
  <c r="D14" i="10"/>
  <c r="D48" i="9"/>
  <c r="D47" i="9"/>
  <c r="D47" i="8"/>
  <c r="D46" i="9"/>
  <c r="D45" i="9"/>
  <c r="D34" i="9"/>
  <c r="D31" i="9"/>
  <c r="D28" i="9"/>
  <c r="D23" i="9"/>
  <c r="D36" i="9" s="1"/>
  <c r="D38" i="9" s="1"/>
  <c r="D20" i="9"/>
  <c r="D17" i="9"/>
  <c r="D14" i="9"/>
  <c r="D48" i="8"/>
  <c r="D46" i="8"/>
  <c r="D45" i="8"/>
  <c r="D34" i="8"/>
  <c r="D31" i="8"/>
  <c r="D28" i="8"/>
  <c r="D36" i="8" s="1"/>
  <c r="D38" i="8" s="1"/>
  <c r="D23" i="8"/>
  <c r="D20" i="8"/>
  <c r="D17" i="8"/>
  <c r="D14" i="8"/>
  <c r="D34" i="7"/>
  <c r="D31" i="7"/>
  <c r="D28" i="7"/>
  <c r="D23" i="7"/>
  <c r="D20" i="7"/>
  <c r="D17" i="7"/>
  <c r="D14" i="7"/>
  <c r="D45" i="4"/>
  <c r="D34" i="6"/>
  <c r="D31" i="6"/>
  <c r="D28" i="6"/>
  <c r="D23" i="6"/>
  <c r="D20" i="6"/>
  <c r="D17" i="6"/>
  <c r="D14" i="6"/>
  <c r="D34" i="2"/>
  <c r="D46" i="12" l="1"/>
  <c r="D47" i="12" s="1"/>
  <c r="D48" i="12"/>
  <c r="F48" i="12"/>
  <c r="F45" i="12"/>
  <c r="F46" i="13"/>
  <c r="F45" i="13"/>
  <c r="F48" i="13"/>
  <c r="F48" i="11"/>
  <c r="F46" i="11"/>
  <c r="F45" i="11"/>
  <c r="F48" i="10"/>
  <c r="F45" i="10"/>
  <c r="F45" i="9"/>
  <c r="F48" i="9"/>
  <c r="F48" i="8"/>
  <c r="F45" i="8"/>
  <c r="D36" i="7"/>
  <c r="D38" i="7" s="1"/>
  <c r="D48" i="7" s="1"/>
  <c r="F48" i="7" s="1"/>
  <c r="D36" i="6"/>
  <c r="D38" i="6" s="1"/>
  <c r="D48" i="6" s="1"/>
  <c r="F48" i="6" s="1"/>
  <c r="D34" i="5"/>
  <c r="D31" i="5"/>
  <c r="D28" i="5"/>
  <c r="D23" i="5"/>
  <c r="D20" i="5"/>
  <c r="D17" i="5"/>
  <c r="D14" i="5"/>
  <c r="D34" i="4"/>
  <c r="D31" i="4"/>
  <c r="D28" i="4"/>
  <c r="D23" i="4"/>
  <c r="D20" i="4"/>
  <c r="D17" i="4"/>
  <c r="D14" i="4"/>
  <c r="D34" i="3"/>
  <c r="D31" i="3"/>
  <c r="D28" i="3"/>
  <c r="D23" i="3"/>
  <c r="D20" i="3"/>
  <c r="D17" i="3"/>
  <c r="D14" i="3"/>
  <c r="D14" i="2"/>
  <c r="D31" i="2"/>
  <c r="D28" i="2"/>
  <c r="D23" i="2"/>
  <c r="D20" i="2"/>
  <c r="D17" i="2"/>
  <c r="F47" i="13" l="1"/>
  <c r="F50" i="13" s="1"/>
  <c r="F47" i="11"/>
  <c r="F50" i="11" s="1"/>
  <c r="D45" i="7"/>
  <c r="D46" i="7" s="1"/>
  <c r="D47" i="7" s="1"/>
  <c r="D45" i="6"/>
  <c r="F45" i="6" s="1"/>
  <c r="D36" i="4"/>
  <c r="D38" i="4" s="1"/>
  <c r="D36" i="3"/>
  <c r="D38" i="3" s="1"/>
  <c r="D48" i="3" s="1"/>
  <c r="F48" i="3" s="1"/>
  <c r="D36" i="5"/>
  <c r="D38" i="5" s="1"/>
  <c r="D48" i="5" s="1"/>
  <c r="F48" i="5"/>
  <c r="D45" i="5"/>
  <c r="F45" i="5" s="1"/>
  <c r="D48" i="4"/>
  <c r="F48" i="4" s="1"/>
  <c r="D46" i="4"/>
  <c r="D47" i="4" s="1"/>
  <c r="F45" i="4"/>
  <c r="D36" i="2"/>
  <c r="D38" i="2" s="1"/>
  <c r="F46" i="12" l="1"/>
  <c r="F47" i="12"/>
  <c r="F46" i="10"/>
  <c r="F47" i="10"/>
  <c r="F46" i="9"/>
  <c r="F47" i="9"/>
  <c r="F46" i="8"/>
  <c r="F47" i="8"/>
  <c r="F45" i="7"/>
  <c r="D46" i="6"/>
  <c r="D47" i="6" s="1"/>
  <c r="F47" i="6" s="1"/>
  <c r="F46" i="7"/>
  <c r="F47" i="7"/>
  <c r="D45" i="3"/>
  <c r="D46" i="3" s="1"/>
  <c r="D47" i="3" s="1"/>
  <c r="D46" i="5"/>
  <c r="D47" i="5" s="1"/>
  <c r="D45" i="2"/>
  <c r="F45" i="2" s="1"/>
  <c r="D48" i="2"/>
  <c r="F48" i="2" s="1"/>
  <c r="F50" i="12" l="1"/>
  <c r="F50" i="10"/>
  <c r="F54" i="10" s="1"/>
  <c r="F50" i="9"/>
  <c r="F50" i="8"/>
  <c r="F46" i="6"/>
  <c r="F50" i="6" s="1"/>
  <c r="F50" i="7"/>
  <c r="F45" i="3"/>
  <c r="F46" i="5"/>
  <c r="F47" i="5"/>
  <c r="F46" i="4"/>
  <c r="F47" i="4"/>
  <c r="F46" i="3"/>
  <c r="F47" i="3"/>
  <c r="D46" i="2"/>
  <c r="D47" i="2" s="1"/>
  <c r="F50" i="4" l="1"/>
  <c r="F50" i="3"/>
  <c r="F50" i="5"/>
  <c r="F47" i="2"/>
  <c r="F46" i="2"/>
  <c r="F50" i="2" l="1"/>
  <c r="F54" i="2" s="1"/>
</calcChain>
</file>

<file path=xl/sharedStrings.xml><?xml version="1.0" encoding="utf-8"?>
<sst xmlns="http://schemas.openxmlformats.org/spreadsheetml/2006/main" count="537" uniqueCount="125">
  <si>
    <t>Description</t>
  </si>
  <si>
    <t>Account Number</t>
  </si>
  <si>
    <t>Subsidy from Religious Order</t>
  </si>
  <si>
    <t>Special Fund Raising for Schools</t>
  </si>
  <si>
    <t>Pastorate Support Income</t>
  </si>
  <si>
    <t>Cemetery Income</t>
  </si>
  <si>
    <t>Poor Box Income</t>
  </si>
  <si>
    <t>Archdiocesan Collections</t>
  </si>
  <si>
    <t>Special Collections for Charitable Purposes</t>
  </si>
  <si>
    <t>Special Charitable Funds Expended</t>
  </si>
  <si>
    <t>Rental Property Expense</t>
  </si>
  <si>
    <t>Rental Property Income</t>
  </si>
  <si>
    <t>Votive Light Expense</t>
  </si>
  <si>
    <t>Votive Light Income</t>
  </si>
  <si>
    <t>Pamphlets, Books, Bulletin Expense</t>
  </si>
  <si>
    <t>Pamphlets, Books, Bulletin Income</t>
  </si>
  <si>
    <t>Catholic Review Expense</t>
  </si>
  <si>
    <t>Benefit Expense</t>
  </si>
  <si>
    <t>Benefit Income</t>
  </si>
  <si>
    <t>Daycare/Pre-school Expense</t>
  </si>
  <si>
    <t>Daycare/Pre-school Income</t>
  </si>
  <si>
    <t>Evangelization, Catechesis and Other Program Expense</t>
  </si>
  <si>
    <t>5712-5790</t>
  </si>
  <si>
    <t>Evangelization, Catechesis and Other Program Income</t>
  </si>
  <si>
    <t>4511-4690</t>
  </si>
  <si>
    <t>Total Exemptions and Deductions</t>
  </si>
  <si>
    <t>Taxable Income</t>
  </si>
  <si>
    <t>Income</t>
  </si>
  <si>
    <t>Tax Rate</t>
  </si>
  <si>
    <t>Tax</t>
  </si>
  <si>
    <t>Total</t>
  </si>
  <si>
    <t>Year-To-Date</t>
  </si>
  <si>
    <t>Total of Taxable income less first $200,000</t>
  </si>
  <si>
    <t>Blue shaded cells need amounts entered into them</t>
  </si>
  <si>
    <t>Other cells are calculated.</t>
  </si>
  <si>
    <t>First $200,000 of Taxable Income ($50,000 quarterly)</t>
  </si>
  <si>
    <t>Additional  $100,000 of Taxable Income ($25,000 quarterly)</t>
  </si>
  <si>
    <t>Additional $200,000 of Taxable Income ($50,000 quarterly)</t>
  </si>
  <si>
    <t>Taxable Income Over $500,000 ($125,000 Quarterly)</t>
  </si>
  <si>
    <t>Total of Taxable income less first $300,000</t>
  </si>
  <si>
    <t>Total of Taxable income less first $500,000</t>
  </si>
  <si>
    <t>First $50,000 of Taxable Income ($50,000 quarterly)</t>
  </si>
  <si>
    <t>Additional  $25,000 of Taxable Income ($25,000 quarterly)</t>
  </si>
  <si>
    <t>Additional $50,000 of Taxable Income ($50,000 quarterly)</t>
  </si>
  <si>
    <t>Taxable Income Over $125,000 ($125,000 Quarterly)</t>
  </si>
  <si>
    <t>First $100,000 of Taxable Income ($50,000 quarterly)</t>
  </si>
  <si>
    <t>Additional  $50,000 of Taxable Income ($25,000 quarterly)</t>
  </si>
  <si>
    <t>Additional $100,000 of Taxable Income ($50,000 quarterly)</t>
  </si>
  <si>
    <t>Taxable Income Over $250,000 ($125,000 Quarterly)</t>
  </si>
  <si>
    <t>Additional  $75,000 of Taxable Income ($25,000 quarterly)</t>
  </si>
  <si>
    <t>Additional $150,000 of Taxable Income ($50,000 quarterly)</t>
  </si>
  <si>
    <t>Taxable Income Over $375,000 ($125,000 Quarterly)</t>
  </si>
  <si>
    <r>
      <rPr>
        <b/>
        <sz val="12"/>
        <color rgb="FFFF0000"/>
        <rFont val="Arial"/>
        <family val="2"/>
      </rPr>
      <t>First Quarter (July through September)</t>
    </r>
    <r>
      <rPr>
        <b/>
        <sz val="12"/>
        <color indexed="8"/>
        <rFont val="Arial"/>
        <family val="2"/>
      </rPr>
      <t xml:space="preserve"> Cathedraticum Estimate</t>
    </r>
  </si>
  <si>
    <r>
      <rPr>
        <b/>
        <sz val="12"/>
        <color rgb="FFFF0000"/>
        <rFont val="Arial"/>
        <family val="2"/>
      </rPr>
      <t>Second Quarter (July through December)</t>
    </r>
    <r>
      <rPr>
        <b/>
        <sz val="12"/>
        <color indexed="8"/>
        <rFont val="Arial"/>
        <family val="2"/>
      </rPr>
      <t xml:space="preserve"> Cathedraticum Estimate</t>
    </r>
  </si>
  <si>
    <r>
      <rPr>
        <b/>
        <sz val="12"/>
        <color rgb="FFFF0000"/>
        <rFont val="Arial"/>
        <family val="2"/>
      </rPr>
      <t>Third Quarter (July through March)</t>
    </r>
    <r>
      <rPr>
        <b/>
        <sz val="12"/>
        <color indexed="8"/>
        <rFont val="Arial"/>
        <family val="2"/>
      </rPr>
      <t xml:space="preserve"> Cathedraticum Estimate</t>
    </r>
  </si>
  <si>
    <t>Annual Total</t>
  </si>
  <si>
    <t>Year-to-date Total</t>
  </si>
  <si>
    <t xml:space="preserve"> Cathedraticum Estimate - October YTD</t>
  </si>
  <si>
    <t>First $66,667 of Taxable Income ($50,000 quarterly + $16,667 monthly)</t>
  </si>
  <si>
    <t>Additional  $33,333 of Taxable Income ($25,000 quarterly + $8,333 monthly)</t>
  </si>
  <si>
    <t>Additional $66,667 of Taxable Income ($50,000 quarterly + $16,667 monthly)</t>
  </si>
  <si>
    <t>Taxable Income Over $166,667 ($125,000 Quarterly + $41,667 monthly)</t>
  </si>
  <si>
    <t xml:space="preserve"> Cathedraticum Estimate - November YTD</t>
  </si>
  <si>
    <t>First $83,334 of Taxable Income ($50,000 quarterly + $16,667 monthly)</t>
  </si>
  <si>
    <t>Additional  $41,666 of Taxable Income ($25,000 quarterly + $8,333 monthly)</t>
  </si>
  <si>
    <t>Additional $83,334 of Taxable Income ($50,000 quarterly + $16,667 monthly)</t>
  </si>
  <si>
    <t>Taxable Income Over $208,334 ($125,000 Quarterly + $41,667 monthly)</t>
  </si>
  <si>
    <t>First $116,667 of Taxable Income ($100,000 quarterly+ $16,1667 Monthly)</t>
  </si>
  <si>
    <t>Additional  $58,333 of Taxable Income ($50,000 quarterly+ $8,333/month)</t>
  </si>
  <si>
    <t>Additional $116,667 of Taxable Income ($100,000 quarterly+ $16,1667 Monthly)</t>
  </si>
  <si>
    <t>Taxable Income Over $291,667 ($125,000 Quarterly)</t>
  </si>
  <si>
    <r>
      <t xml:space="preserve">Cathedraticum Tax Calculation </t>
    </r>
    <r>
      <rPr>
        <b/>
        <sz val="9"/>
        <color rgb="FFFF0000"/>
        <rFont val="Arial"/>
        <family val="2"/>
      </rPr>
      <t>FOR 3rd QUARTER ONLY</t>
    </r>
  </si>
  <si>
    <t>First $133,333 of Taxable Income ($100,000 quarterly+ $16,667 Monthly)</t>
  </si>
  <si>
    <t>Additional  $66,666 of Taxable Income ($50,000 quarterly+ $8,333/month)</t>
  </si>
  <si>
    <t>Additiional $133,333 of Taxable Income ($100,000 quarterly+ $16,667 Monthly)</t>
  </si>
  <si>
    <t>Taxable Income Over $333,332 ($125,000 Quarterly)</t>
  </si>
  <si>
    <t>First $166,667 of Taxable Income ($150,000 quarterly + $16,667 Monthly)</t>
  </si>
  <si>
    <t>Additional  $83,333 of Taxable Income ($75,000 quarterly + $8,333/month)</t>
  </si>
  <si>
    <t>Additiional $166,667 of Taxable Income ($150,000 quarterly + $16,667 Monthly)</t>
  </si>
  <si>
    <t>Taxable Income Over $416,667 ($375,000 Quarterly + 41,667/ month)</t>
  </si>
  <si>
    <t>Total of Taxable income less first $75,000</t>
  </si>
  <si>
    <t>Total of Taxable income less first $50,000</t>
  </si>
  <si>
    <t>Total of Taxable income less first $125,000</t>
  </si>
  <si>
    <t>Total of Taxable income less first $100,000</t>
  </si>
  <si>
    <t>Total of Taxable income less first $150,000</t>
  </si>
  <si>
    <t>Total of Taxable income less first $250,000</t>
  </si>
  <si>
    <t>Total of Taxable income less first $225,000</t>
  </si>
  <si>
    <t>Total of Taxable income less first $375,000</t>
  </si>
  <si>
    <t>First $183,334 of Taxable Income ($150,000 quarterly + $16,667 Monthly)</t>
  </si>
  <si>
    <t>Additional  $91,666 of Taxable Income ($75,000 quarterly + $8,333/month)</t>
  </si>
  <si>
    <t>Additiional $183,334 of Taxable Income ($150,000 quarterly + $16,667 Monthly)</t>
  </si>
  <si>
    <t>Taxable Income Over $458,334 ($375,000 Quarterly + 41,667/ month)</t>
  </si>
  <si>
    <r>
      <t xml:space="preserve">Cathedraticum Tax Calculation </t>
    </r>
    <r>
      <rPr>
        <b/>
        <sz val="9"/>
        <color rgb="FFFF0000"/>
        <rFont val="Arial"/>
        <family val="2"/>
      </rPr>
      <t>FOR 1ST QUARTER ONLY</t>
    </r>
  </si>
  <si>
    <r>
      <t xml:space="preserve">Cathedraticum Tax Calculation </t>
    </r>
    <r>
      <rPr>
        <b/>
        <sz val="9"/>
        <color rgb="FFFF0000"/>
        <rFont val="Arial"/>
        <family val="2"/>
      </rPr>
      <t>FOR 2nd QUARTER ONLY</t>
    </r>
  </si>
  <si>
    <t>Cathedraticum Tax Calculation</t>
  </si>
  <si>
    <t>Cathedraticum Estimate - January YTD</t>
  </si>
  <si>
    <t>Cathedraticum Estimate - February YTD</t>
  </si>
  <si>
    <t>Cathedraticum Estimate - April YTD</t>
  </si>
  <si>
    <t>Cathedraticum Estimate - May YTD</t>
  </si>
  <si>
    <r>
      <rPr>
        <b/>
        <sz val="12"/>
        <color rgb="FFFF0000"/>
        <rFont val="Arial"/>
        <family val="2"/>
      </rPr>
      <t xml:space="preserve">4th Quarter (July - June) </t>
    </r>
    <r>
      <rPr>
        <b/>
        <sz val="12"/>
        <color indexed="8"/>
        <rFont val="Arial"/>
        <family val="2"/>
      </rPr>
      <t>Cathedraticum Estimate</t>
    </r>
  </si>
  <si>
    <r>
      <t xml:space="preserve">Cathedraticum Tax Calculation </t>
    </r>
    <r>
      <rPr>
        <b/>
        <sz val="9"/>
        <color rgb="FFFF0000"/>
        <rFont val="Arial"/>
        <family val="2"/>
      </rPr>
      <t>(July Only)</t>
    </r>
  </si>
  <si>
    <t>First $16,667 of Taxable Income ($50,000 quarterly)</t>
  </si>
  <si>
    <t>Additional  $8,333 of Taxable Income ($25,000 quarterly)</t>
  </si>
  <si>
    <t>Additional $16,667 of Taxable Income ($50,000 quarterly)</t>
  </si>
  <si>
    <t>Taxable Income Over $41,667 ($125,000 Quarterly)</t>
  </si>
  <si>
    <t>Total of Taxable income less first $16,667</t>
  </si>
  <si>
    <t>Total of Taxable income less first $25,000</t>
  </si>
  <si>
    <t>Total of Taxable income less first $41,667</t>
  </si>
  <si>
    <t>Cathedraticum Estimate - July</t>
  </si>
  <si>
    <t xml:space="preserve"> Cathedraticum Estimate - August YTD</t>
  </si>
  <si>
    <r>
      <t>Cathedraticum Tax Calculation</t>
    </r>
    <r>
      <rPr>
        <b/>
        <sz val="9"/>
        <color rgb="FFFF0000"/>
        <rFont val="Arial"/>
        <family val="2"/>
      </rPr>
      <t xml:space="preserve"> (August Only)</t>
    </r>
  </si>
  <si>
    <t>First $33,334 of Taxable Income ($50,000 quarterly)</t>
  </si>
  <si>
    <t>Additional  $16,666 of Taxable Income ($25,000 quarterly)</t>
  </si>
  <si>
    <t>Additional $33,334 of Taxable Income ($50,000 quarterly)</t>
  </si>
  <si>
    <t>Taxable Income Over $83,334 ($125,000 Quarterly)</t>
  </si>
  <si>
    <t>Total of Taxable income less first $33,334</t>
  </si>
  <si>
    <t>Total of Taxable income less first $83,334</t>
  </si>
  <si>
    <t>Amount previously paid/expensed</t>
  </si>
  <si>
    <t>Current expense/Amount Due</t>
  </si>
  <si>
    <r>
      <t xml:space="preserve">Cathedraticum Tax Calculation </t>
    </r>
    <r>
      <rPr>
        <b/>
        <sz val="9"/>
        <color rgb="FFFF0000"/>
        <rFont val="Arial"/>
        <family val="2"/>
      </rPr>
      <t>FOR January ONLY</t>
    </r>
  </si>
  <si>
    <r>
      <t xml:space="preserve">Cathedraticum Tax Calculation </t>
    </r>
    <r>
      <rPr>
        <b/>
        <sz val="9"/>
        <color rgb="FFFF0000"/>
        <rFont val="Arial"/>
        <family val="2"/>
      </rPr>
      <t>FOR October ONLY</t>
    </r>
  </si>
  <si>
    <r>
      <t>Cathedraticum Tax Calculation</t>
    </r>
    <r>
      <rPr>
        <b/>
        <sz val="9"/>
        <color rgb="FFFF0000"/>
        <rFont val="Arial"/>
        <family val="2"/>
      </rPr>
      <t xml:space="preserve"> FOR November ONLY</t>
    </r>
  </si>
  <si>
    <r>
      <t>Cathedraticum Tax Calculation</t>
    </r>
    <r>
      <rPr>
        <b/>
        <sz val="9"/>
        <color rgb="FFFF0000"/>
        <rFont val="Arial"/>
        <family val="2"/>
      </rPr>
      <t xml:space="preserve"> FOR February ONLY</t>
    </r>
  </si>
  <si>
    <t>First $150,000 of Taxable Income ($50,000 quarterly)</t>
  </si>
  <si>
    <t xml:space="preserve">Total Operating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</si>
</sst>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12"/>
      <color indexed="8"/>
      <name val="Arial"/>
      <family val="2"/>
    </font>
    <font>
      <b/>
      <sz val="12"/>
      <color rgb="FFFF0000"/>
      <name val="Arial"/>
      <family val="2"/>
    </font>
    <font>
      <i/>
      <sz val="9"/>
      <color rgb="FF0070C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165" fontId="3" fillId="0" borderId="0" xfId="0" applyNumberFormat="1" applyFont="1"/>
    <xf numFmtId="165" fontId="3" fillId="0" borderId="0" xfId="1" applyNumberFormat="1" applyFont="1"/>
    <xf numFmtId="44" fontId="3" fillId="2" borderId="0" xfId="2" applyFont="1" applyFill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Protection="1">
      <protection locked="0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164" fontId="3" fillId="0" borderId="2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114C-8DB3-4EE4-8206-1CAEBE918477}">
  <dimension ref="A1:H50"/>
  <sheetViews>
    <sheetView tabSelected="1" workbookViewId="0">
      <selection sqref="A1:D1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108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/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/>
      <c r="F6" s="2" t="s">
        <v>34</v>
      </c>
    </row>
    <row r="7" spans="1:6" x14ac:dyDescent="0.2">
      <c r="A7" s="2" t="s">
        <v>3</v>
      </c>
      <c r="B7" s="2">
        <v>4155</v>
      </c>
      <c r="C7" s="5"/>
      <c r="D7" s="11"/>
    </row>
    <row r="8" spans="1:6" x14ac:dyDescent="0.2">
      <c r="A8" s="2" t="s">
        <v>4</v>
      </c>
      <c r="B8" s="2">
        <v>4285</v>
      </c>
      <c r="C8" s="5"/>
      <c r="D8" s="11"/>
    </row>
    <row r="9" spans="1:6" x14ac:dyDescent="0.2">
      <c r="A9" s="2" t="s">
        <v>5</v>
      </c>
      <c r="B9" s="2">
        <v>4350</v>
      </c>
      <c r="C9" s="5"/>
      <c r="D9" s="11"/>
    </row>
    <row r="10" spans="1:6" x14ac:dyDescent="0.2">
      <c r="A10" s="2" t="s">
        <v>6</v>
      </c>
      <c r="B10" s="2">
        <v>4360</v>
      </c>
      <c r="C10" s="5"/>
      <c r="D10" s="11"/>
    </row>
    <row r="11" spans="1:6" x14ac:dyDescent="0.2">
      <c r="A11" s="2" t="s">
        <v>7</v>
      </c>
      <c r="B11" s="2">
        <v>4375</v>
      </c>
      <c r="C11" s="5"/>
      <c r="D11" s="11"/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/>
      <c r="D13" s="5"/>
    </row>
    <row r="14" spans="1:6" x14ac:dyDescent="0.2">
      <c r="A14" s="2" t="s">
        <v>9</v>
      </c>
      <c r="B14" s="2">
        <v>5380</v>
      </c>
      <c r="C14" s="11"/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/>
      <c r="D16" s="5"/>
    </row>
    <row r="17" spans="1:4" x14ac:dyDescent="0.2">
      <c r="A17" s="2" t="s">
        <v>11</v>
      </c>
      <c r="B17" s="2">
        <v>4310</v>
      </c>
      <c r="C17" s="11"/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/>
      <c r="D19" s="5"/>
    </row>
    <row r="20" spans="1:4" x14ac:dyDescent="0.2">
      <c r="A20" s="2" t="s">
        <v>13</v>
      </c>
      <c r="B20" s="2">
        <v>4320</v>
      </c>
      <c r="C20" s="11"/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/>
      <c r="D22" s="5"/>
    </row>
    <row r="23" spans="1:4" x14ac:dyDescent="0.2">
      <c r="A23" s="2" t="s">
        <v>15</v>
      </c>
      <c r="B23" s="2">
        <v>4330</v>
      </c>
      <c r="C23" s="11"/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/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/>
      <c r="D27" s="5"/>
    </row>
    <row r="28" spans="1:4" x14ac:dyDescent="0.2">
      <c r="A28" s="2" t="s">
        <v>18</v>
      </c>
      <c r="B28" s="2">
        <v>4370</v>
      </c>
      <c r="C28" s="11"/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/>
      <c r="D30" s="5"/>
    </row>
    <row r="31" spans="1:4" x14ac:dyDescent="0.2">
      <c r="A31" s="2" t="s">
        <v>20</v>
      </c>
      <c r="B31" s="2">
        <v>4385</v>
      </c>
      <c r="C31" s="11"/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/>
      <c r="D33" s="5"/>
    </row>
    <row r="34" spans="1:8" x14ac:dyDescent="0.2">
      <c r="A34" s="2" t="s">
        <v>23</v>
      </c>
      <c r="B34" s="2" t="s">
        <v>24</v>
      </c>
      <c r="C34" s="11"/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100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101</v>
      </c>
      <c r="D45" s="5">
        <f>IF($D$38&gt;16667,16667,D38)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102</v>
      </c>
      <c r="D46" s="5">
        <f>IF($D$38-D45&gt;8333,8333,(IF(D38-16667&gt;0,D38-16667,0)))</f>
        <v>0</v>
      </c>
      <c r="E46" s="8">
        <v>0.155</v>
      </c>
      <c r="F46" s="5">
        <f t="shared" ref="F46" si="0">D46*E46</f>
        <v>0</v>
      </c>
      <c r="H46" s="2" t="s">
        <v>105</v>
      </c>
    </row>
    <row r="47" spans="1:8" x14ac:dyDescent="0.2">
      <c r="A47" s="2" t="s">
        <v>103</v>
      </c>
      <c r="D47" s="5">
        <f>IF($D$38-(D46+D45)&gt;16667,16667,(IF($D$38-25000&gt;0,$D$38-25000,0)))</f>
        <v>0</v>
      </c>
      <c r="E47" s="8">
        <v>0.16500000000000001</v>
      </c>
      <c r="F47" s="5">
        <f>D47*E47</f>
        <v>0</v>
      </c>
      <c r="H47" s="2" t="s">
        <v>106</v>
      </c>
    </row>
    <row r="48" spans="1:8" x14ac:dyDescent="0.2">
      <c r="A48" s="2" t="s">
        <v>104</v>
      </c>
      <c r="D48" s="5">
        <f>IF(D38&gt;41667,D38-41667,0)</f>
        <v>0</v>
      </c>
      <c r="E48" s="8">
        <v>0.17</v>
      </c>
      <c r="F48" s="5">
        <f>D48*E48</f>
        <v>0</v>
      </c>
      <c r="H48" s="2" t="s">
        <v>107</v>
      </c>
    </row>
    <row r="50" spans="1:6" x14ac:dyDescent="0.2">
      <c r="A50" s="2" t="s">
        <v>30</v>
      </c>
      <c r="F50" s="5">
        <f>SUM(F45:F48)</f>
        <v>0</v>
      </c>
    </row>
  </sheetData>
  <mergeCells count="2">
    <mergeCell ref="A1:D1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D1CD-A27D-44AE-88F8-4E54523C59D5}">
  <dimension ref="A1:H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109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/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/>
      <c r="F6" s="2" t="s">
        <v>34</v>
      </c>
    </row>
    <row r="7" spans="1:6" x14ac:dyDescent="0.2">
      <c r="A7" s="2" t="s">
        <v>3</v>
      </c>
      <c r="B7" s="2">
        <v>4155</v>
      </c>
      <c r="C7" s="5"/>
      <c r="D7" s="11"/>
    </row>
    <row r="8" spans="1:6" x14ac:dyDescent="0.2">
      <c r="A8" s="2" t="s">
        <v>4</v>
      </c>
      <c r="B8" s="2">
        <v>4285</v>
      </c>
      <c r="C8" s="5"/>
      <c r="D8" s="11"/>
    </row>
    <row r="9" spans="1:6" x14ac:dyDescent="0.2">
      <c r="A9" s="2" t="s">
        <v>5</v>
      </c>
      <c r="B9" s="2">
        <v>4350</v>
      </c>
      <c r="C9" s="5"/>
      <c r="D9" s="11"/>
    </row>
    <row r="10" spans="1:6" x14ac:dyDescent="0.2">
      <c r="A10" s="2" t="s">
        <v>6</v>
      </c>
      <c r="B10" s="2">
        <v>4360</v>
      </c>
      <c r="C10" s="5"/>
      <c r="D10" s="11"/>
    </row>
    <row r="11" spans="1:6" x14ac:dyDescent="0.2">
      <c r="A11" s="2" t="s">
        <v>7</v>
      </c>
      <c r="B11" s="2">
        <v>4375</v>
      </c>
      <c r="C11" s="5"/>
      <c r="D11" s="11"/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/>
      <c r="D13" s="5"/>
    </row>
    <row r="14" spans="1:6" x14ac:dyDescent="0.2">
      <c r="A14" s="2" t="s">
        <v>9</v>
      </c>
      <c r="B14" s="2">
        <v>5380</v>
      </c>
      <c r="C14" s="11"/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/>
      <c r="D16" s="5"/>
    </row>
    <row r="17" spans="1:4" x14ac:dyDescent="0.2">
      <c r="A17" s="2" t="s">
        <v>11</v>
      </c>
      <c r="B17" s="2">
        <v>4310</v>
      </c>
      <c r="C17" s="11"/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/>
      <c r="D19" s="5"/>
    </row>
    <row r="20" spans="1:4" x14ac:dyDescent="0.2">
      <c r="A20" s="2" t="s">
        <v>13</v>
      </c>
      <c r="B20" s="2">
        <v>4320</v>
      </c>
      <c r="C20" s="11"/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/>
      <c r="D22" s="5"/>
    </row>
    <row r="23" spans="1:4" x14ac:dyDescent="0.2">
      <c r="A23" s="2" t="s">
        <v>15</v>
      </c>
      <c r="B23" s="2">
        <v>4330</v>
      </c>
      <c r="C23" s="11"/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/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/>
      <c r="D27" s="5"/>
    </row>
    <row r="28" spans="1:4" x14ac:dyDescent="0.2">
      <c r="A28" s="2" t="s">
        <v>18</v>
      </c>
      <c r="B28" s="2">
        <v>4370</v>
      </c>
      <c r="C28" s="11"/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/>
      <c r="D30" s="5"/>
    </row>
    <row r="31" spans="1:4" x14ac:dyDescent="0.2">
      <c r="A31" s="2" t="s">
        <v>20</v>
      </c>
      <c r="B31" s="2">
        <v>4385</v>
      </c>
      <c r="C31" s="11"/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/>
      <c r="D33" s="5"/>
    </row>
    <row r="34" spans="1:8" x14ac:dyDescent="0.2">
      <c r="A34" s="2" t="s">
        <v>23</v>
      </c>
      <c r="B34" s="2" t="s">
        <v>24</v>
      </c>
      <c r="C34" s="11"/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110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111</v>
      </c>
      <c r="D45" s="5">
        <f>IF($D$38&gt;33334,33334,D38)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112</v>
      </c>
      <c r="D46" s="5">
        <f>IF($D$38-D45&gt;16666,16666,(IF(D38-33334&gt;0,D38-33334,0)))</f>
        <v>0</v>
      </c>
      <c r="E46" s="8">
        <v>0.155</v>
      </c>
      <c r="F46" s="5">
        <f t="shared" ref="F46" si="0">D46*E46</f>
        <v>0</v>
      </c>
      <c r="H46" s="2" t="s">
        <v>115</v>
      </c>
    </row>
    <row r="47" spans="1:8" x14ac:dyDescent="0.2">
      <c r="A47" s="2" t="s">
        <v>113</v>
      </c>
      <c r="D47" s="5">
        <f>IF($D$38-(D46+D45)&gt;33334,33334,(IF($D$38-50000&gt;0,$D$38-50000,0)))</f>
        <v>0</v>
      </c>
      <c r="E47" s="8">
        <v>0.16500000000000001</v>
      </c>
      <c r="F47" s="5">
        <f>D47*E47</f>
        <v>0</v>
      </c>
      <c r="H47" s="2" t="s">
        <v>81</v>
      </c>
    </row>
    <row r="48" spans="1:8" x14ac:dyDescent="0.2">
      <c r="A48" s="2" t="s">
        <v>114</v>
      </c>
      <c r="D48" s="5">
        <f>IF(D38&gt;83334,D38-83334,0)</f>
        <v>0</v>
      </c>
      <c r="E48" s="8">
        <v>0.17</v>
      </c>
      <c r="F48" s="5">
        <f>D48*E48</f>
        <v>0</v>
      </c>
      <c r="H48" s="2" t="s">
        <v>116</v>
      </c>
    </row>
    <row r="50" spans="1:6" x14ac:dyDescent="0.2">
      <c r="A50" s="2" t="s">
        <v>30</v>
      </c>
      <c r="F50" s="5">
        <f>SUM(F45:F48)</f>
        <v>0</v>
      </c>
    </row>
    <row r="52" spans="1:6" x14ac:dyDescent="0.2">
      <c r="E52" s="14" t="s">
        <v>117</v>
      </c>
      <c r="F52" s="16">
        <f>+July!F50</f>
        <v>0</v>
      </c>
    </row>
    <row r="54" spans="1:6" x14ac:dyDescent="0.2">
      <c r="E54" s="14" t="s">
        <v>118</v>
      </c>
      <c r="F54" s="17">
        <f>+F50-F52</f>
        <v>0</v>
      </c>
    </row>
  </sheetData>
  <mergeCells count="2">
    <mergeCell ref="A1:D1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52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/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/>
      <c r="F6" s="2" t="s">
        <v>34</v>
      </c>
    </row>
    <row r="7" spans="1:6" x14ac:dyDescent="0.2">
      <c r="A7" s="2" t="s">
        <v>3</v>
      </c>
      <c r="B7" s="2">
        <v>4155</v>
      </c>
      <c r="C7" s="5"/>
      <c r="D7" s="11"/>
    </row>
    <row r="8" spans="1:6" x14ac:dyDescent="0.2">
      <c r="A8" s="2" t="s">
        <v>4</v>
      </c>
      <c r="B8" s="2">
        <v>4285</v>
      </c>
      <c r="C8" s="5"/>
      <c r="D8" s="11"/>
    </row>
    <row r="9" spans="1:6" x14ac:dyDescent="0.2">
      <c r="A9" s="2" t="s">
        <v>5</v>
      </c>
      <c r="B9" s="2">
        <v>4350</v>
      </c>
      <c r="C9" s="5"/>
      <c r="D9" s="11"/>
    </row>
    <row r="10" spans="1:6" x14ac:dyDescent="0.2">
      <c r="A10" s="2" t="s">
        <v>6</v>
      </c>
      <c r="B10" s="2">
        <v>4360</v>
      </c>
      <c r="C10" s="5"/>
      <c r="D10" s="11"/>
    </row>
    <row r="11" spans="1:6" x14ac:dyDescent="0.2">
      <c r="A11" s="2" t="s">
        <v>7</v>
      </c>
      <c r="B11" s="2">
        <v>4375</v>
      </c>
      <c r="C11" s="5"/>
      <c r="D11" s="11"/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/>
      <c r="D13" s="5"/>
    </row>
    <row r="14" spans="1:6" x14ac:dyDescent="0.2">
      <c r="A14" s="2" t="s">
        <v>9</v>
      </c>
      <c r="B14" s="2">
        <v>5380</v>
      </c>
      <c r="C14" s="11"/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/>
      <c r="D16" s="5"/>
    </row>
    <row r="17" spans="1:4" x14ac:dyDescent="0.2">
      <c r="A17" s="2" t="s">
        <v>11</v>
      </c>
      <c r="B17" s="2">
        <v>4310</v>
      </c>
      <c r="C17" s="11"/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/>
      <c r="D19" s="5"/>
    </row>
    <row r="20" spans="1:4" x14ac:dyDescent="0.2">
      <c r="A20" s="2" t="s">
        <v>13</v>
      </c>
      <c r="B20" s="2">
        <v>4320</v>
      </c>
      <c r="C20" s="11"/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/>
      <c r="D22" s="5"/>
    </row>
    <row r="23" spans="1:4" x14ac:dyDescent="0.2">
      <c r="A23" s="2" t="s">
        <v>15</v>
      </c>
      <c r="B23" s="2">
        <v>4330</v>
      </c>
      <c r="C23" s="11"/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/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/>
      <c r="D27" s="5"/>
    </row>
    <row r="28" spans="1:4" x14ac:dyDescent="0.2">
      <c r="A28" s="2" t="s">
        <v>18</v>
      </c>
      <c r="B28" s="2">
        <v>4370</v>
      </c>
      <c r="C28" s="11"/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/>
      <c r="D30" s="5"/>
    </row>
    <row r="31" spans="1:4" x14ac:dyDescent="0.2">
      <c r="A31" s="2" t="s">
        <v>20</v>
      </c>
      <c r="B31" s="2">
        <v>4385</v>
      </c>
      <c r="C31" s="11"/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/>
      <c r="D33" s="5"/>
    </row>
    <row r="34" spans="1:8" x14ac:dyDescent="0.2">
      <c r="A34" s="2" t="s">
        <v>23</v>
      </c>
      <c r="B34" s="2" t="s">
        <v>24</v>
      </c>
      <c r="C34" s="11"/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92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41</v>
      </c>
      <c r="D45" s="5">
        <f>IF($D$38&gt;50000,50000,D38)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42</v>
      </c>
      <c r="D46" s="5">
        <f>IF($D$38-D45&gt;25000,25000,(IF(D38-50000&gt;0,D38-50000,0)))</f>
        <v>0</v>
      </c>
      <c r="E46" s="8">
        <v>0.155</v>
      </c>
      <c r="F46" s="5">
        <f t="shared" ref="F46" si="0">D46*E46</f>
        <v>0</v>
      </c>
      <c r="H46" s="2" t="s">
        <v>81</v>
      </c>
    </row>
    <row r="47" spans="1:8" x14ac:dyDescent="0.2">
      <c r="A47" s="2" t="s">
        <v>43</v>
      </c>
      <c r="D47" s="5">
        <f>IF($D$38-(D46+D45)&gt;50000,50000,(IF($D$38-75000&gt;0,$D$38-75000,0)))</f>
        <v>0</v>
      </c>
      <c r="E47" s="8">
        <v>0.16500000000000001</v>
      </c>
      <c r="F47" s="5">
        <f>D47*E47</f>
        <v>0</v>
      </c>
      <c r="H47" s="2" t="s">
        <v>80</v>
      </c>
    </row>
    <row r="48" spans="1:8" x14ac:dyDescent="0.2">
      <c r="A48" s="2" t="s">
        <v>44</v>
      </c>
      <c r="D48" s="5">
        <f>IF(D38&gt;125000,D38-125000,0)</f>
        <v>0</v>
      </c>
      <c r="E48" s="8">
        <v>0.17</v>
      </c>
      <c r="F48" s="5">
        <f>D48*E48</f>
        <v>0</v>
      </c>
      <c r="H48" s="2" t="s">
        <v>82</v>
      </c>
    </row>
    <row r="50" spans="1:6" x14ac:dyDescent="0.2">
      <c r="A50" s="2" t="s">
        <v>30</v>
      </c>
      <c r="F50" s="5">
        <f>SUM(F45:F48)</f>
        <v>0</v>
      </c>
    </row>
    <row r="52" spans="1:6" x14ac:dyDescent="0.2">
      <c r="E52" s="14" t="s">
        <v>117</v>
      </c>
      <c r="F52" s="16">
        <f>+August!F50</f>
        <v>0</v>
      </c>
    </row>
    <row r="54" spans="1:6" x14ac:dyDescent="0.2">
      <c r="E54" s="14" t="s">
        <v>118</v>
      </c>
      <c r="F54" s="17">
        <f>+F50-F52</f>
        <v>0</v>
      </c>
    </row>
  </sheetData>
  <sheetProtection selectLockedCells="1"/>
  <mergeCells count="2">
    <mergeCell ref="C3:D3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C405-222D-44B0-8FE0-AE5AD8B65FA6}">
  <dimension ref="A1:F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57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/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/>
      <c r="F6" s="2" t="s">
        <v>34</v>
      </c>
    </row>
    <row r="7" spans="1:6" x14ac:dyDescent="0.2">
      <c r="A7" s="2" t="s">
        <v>3</v>
      </c>
      <c r="B7" s="2">
        <v>4155</v>
      </c>
      <c r="C7" s="5"/>
      <c r="D7" s="11"/>
    </row>
    <row r="8" spans="1:6" x14ac:dyDescent="0.2">
      <c r="A8" s="2" t="s">
        <v>4</v>
      </c>
      <c r="B8" s="2">
        <v>4285</v>
      </c>
      <c r="C8" s="5"/>
      <c r="D8" s="11"/>
    </row>
    <row r="9" spans="1:6" x14ac:dyDescent="0.2">
      <c r="A9" s="2" t="s">
        <v>5</v>
      </c>
      <c r="B9" s="2">
        <v>4350</v>
      </c>
      <c r="C9" s="5"/>
      <c r="D9" s="11"/>
    </row>
    <row r="10" spans="1:6" x14ac:dyDescent="0.2">
      <c r="A10" s="2" t="s">
        <v>6</v>
      </c>
      <c r="B10" s="2">
        <v>4360</v>
      </c>
      <c r="C10" s="5"/>
      <c r="D10" s="11"/>
    </row>
    <row r="11" spans="1:6" x14ac:dyDescent="0.2">
      <c r="A11" s="2" t="s">
        <v>7</v>
      </c>
      <c r="B11" s="2">
        <v>4375</v>
      </c>
      <c r="C11" s="5"/>
      <c r="D11" s="11"/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/>
      <c r="D13" s="5"/>
    </row>
    <row r="14" spans="1:6" x14ac:dyDescent="0.2">
      <c r="A14" s="2" t="s">
        <v>9</v>
      </c>
      <c r="B14" s="2">
        <v>5380</v>
      </c>
      <c r="C14" s="11"/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/>
      <c r="D16" s="5"/>
    </row>
    <row r="17" spans="1:4" x14ac:dyDescent="0.2">
      <c r="A17" s="2" t="s">
        <v>11</v>
      </c>
      <c r="B17" s="2">
        <v>4310</v>
      </c>
      <c r="C17" s="11"/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/>
      <c r="D19" s="5"/>
    </row>
    <row r="20" spans="1:4" x14ac:dyDescent="0.2">
      <c r="A20" s="2" t="s">
        <v>13</v>
      </c>
      <c r="B20" s="2">
        <v>4320</v>
      </c>
      <c r="C20" s="11"/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/>
      <c r="D22" s="5"/>
    </row>
    <row r="23" spans="1:4" x14ac:dyDescent="0.2">
      <c r="A23" s="2" t="s">
        <v>15</v>
      </c>
      <c r="B23" s="2">
        <v>4330</v>
      </c>
      <c r="C23" s="11"/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/>
      <c r="D27" s="5"/>
    </row>
    <row r="28" spans="1:4" x14ac:dyDescent="0.2">
      <c r="A28" s="2" t="s">
        <v>18</v>
      </c>
      <c r="B28" s="2">
        <v>4370</v>
      </c>
      <c r="C28" s="11"/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/>
      <c r="D30" s="5"/>
    </row>
    <row r="31" spans="1:4" x14ac:dyDescent="0.2">
      <c r="A31" s="2" t="s">
        <v>20</v>
      </c>
      <c r="B31" s="2">
        <v>4385</v>
      </c>
      <c r="C31" s="11"/>
      <c r="D31" s="5">
        <f>IF(C31&gt;C30,C30,C31)</f>
        <v>0</v>
      </c>
    </row>
    <row r="32" spans="1:4" x14ac:dyDescent="0.2">
      <c r="C32" s="10"/>
      <c r="D32" s="5"/>
    </row>
    <row r="33" spans="1:6" x14ac:dyDescent="0.2">
      <c r="A33" s="2" t="s">
        <v>21</v>
      </c>
      <c r="B33" s="2" t="s">
        <v>22</v>
      </c>
      <c r="C33" s="11"/>
      <c r="D33" s="5"/>
    </row>
    <row r="34" spans="1:6" x14ac:dyDescent="0.2">
      <c r="A34" s="2" t="s">
        <v>23</v>
      </c>
      <c r="B34" s="2" t="s">
        <v>24</v>
      </c>
      <c r="C34" s="11"/>
      <c r="D34" s="5">
        <f>IF(C34&gt;C33,C33,C34)</f>
        <v>0</v>
      </c>
    </row>
    <row r="35" spans="1:6" x14ac:dyDescent="0.2">
      <c r="C35" s="5"/>
      <c r="D35" s="5"/>
    </row>
    <row r="36" spans="1:6" x14ac:dyDescent="0.2">
      <c r="A36" s="2" t="s">
        <v>25</v>
      </c>
      <c r="C36" s="5"/>
      <c r="D36" s="5">
        <f>SUM(D6:D34)</f>
        <v>0</v>
      </c>
    </row>
    <row r="37" spans="1:6" x14ac:dyDescent="0.2">
      <c r="C37" s="5"/>
      <c r="D37" s="5"/>
    </row>
    <row r="38" spans="1:6" x14ac:dyDescent="0.2">
      <c r="A38" s="2" t="s">
        <v>26</v>
      </c>
      <c r="C38" s="5"/>
      <c r="D38" s="5">
        <f>+D4-D36</f>
        <v>0</v>
      </c>
    </row>
    <row r="43" spans="1:6" ht="12" x14ac:dyDescent="0.25">
      <c r="A43" s="1" t="s">
        <v>120</v>
      </c>
      <c r="D43" s="6" t="s">
        <v>27</v>
      </c>
      <c r="E43" s="6" t="s">
        <v>28</v>
      </c>
      <c r="F43" s="6" t="s">
        <v>29</v>
      </c>
    </row>
    <row r="45" spans="1:6" x14ac:dyDescent="0.2">
      <c r="A45" s="2" t="s">
        <v>58</v>
      </c>
      <c r="D45" s="5">
        <f>IF($D$38&gt;66667,66667,D38)</f>
        <v>0</v>
      </c>
      <c r="E45" s="7">
        <v>7.0000000000000007E-2</v>
      </c>
      <c r="F45" s="5">
        <f>D45*E45</f>
        <v>0</v>
      </c>
    </row>
    <row r="46" spans="1:6" x14ac:dyDescent="0.2">
      <c r="A46" s="2" t="s">
        <v>59</v>
      </c>
      <c r="D46" s="5">
        <f>IF($D$38-D45&gt;33333,33333,(IF(D38-66667&gt;0,D38-66667,0)))</f>
        <v>0</v>
      </c>
      <c r="E46" s="8">
        <v>0.155</v>
      </c>
      <c r="F46" s="5">
        <f t="shared" ref="F46" si="0">D46*E46</f>
        <v>0</v>
      </c>
    </row>
    <row r="47" spans="1:6" x14ac:dyDescent="0.2">
      <c r="A47" s="2" t="s">
        <v>60</v>
      </c>
      <c r="D47" s="5">
        <f>IF($D$38-(D46+D45)&gt;66667,66667,(IF($D$38-100000&gt;0,$D$38-100000,0)))</f>
        <v>0</v>
      </c>
      <c r="E47" s="8">
        <v>0.16500000000000001</v>
      </c>
      <c r="F47" s="5">
        <f>D47*E47</f>
        <v>0</v>
      </c>
    </row>
    <row r="48" spans="1:6" x14ac:dyDescent="0.2">
      <c r="A48" s="2" t="s">
        <v>61</v>
      </c>
      <c r="D48" s="5">
        <f>IF(D38&gt;166667,D38-166667,0)</f>
        <v>0</v>
      </c>
      <c r="E48" s="8">
        <v>0.17</v>
      </c>
      <c r="F48" s="5">
        <f>D48*E48</f>
        <v>0</v>
      </c>
    </row>
    <row r="50" spans="1:6" x14ac:dyDescent="0.2">
      <c r="A50" s="2" t="s">
        <v>30</v>
      </c>
      <c r="F50" s="5">
        <f>SUM(F45:F48)</f>
        <v>0</v>
      </c>
    </row>
    <row r="52" spans="1:6" x14ac:dyDescent="0.2">
      <c r="E52" s="14" t="s">
        <v>117</v>
      </c>
      <c r="F52" s="16">
        <f>+August!F50</f>
        <v>0</v>
      </c>
    </row>
    <row r="54" spans="1:6" x14ac:dyDescent="0.2">
      <c r="E54" s="14" t="s">
        <v>118</v>
      </c>
      <c r="F54" s="17">
        <f>+F50-F52</f>
        <v>0</v>
      </c>
    </row>
  </sheetData>
  <mergeCells count="2">
    <mergeCell ref="A1:D1"/>
    <mergeCell ref="C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C67F-646A-4D20-BF16-348E5832248B}">
  <dimension ref="A1:F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62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/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/>
      <c r="F6" s="2" t="s">
        <v>34</v>
      </c>
    </row>
    <row r="7" spans="1:6" x14ac:dyDescent="0.2">
      <c r="A7" s="2" t="s">
        <v>3</v>
      </c>
      <c r="B7" s="2">
        <v>4155</v>
      </c>
      <c r="C7" s="5"/>
      <c r="D7" s="11"/>
    </row>
    <row r="8" spans="1:6" x14ac:dyDescent="0.2">
      <c r="A8" s="2" t="s">
        <v>4</v>
      </c>
      <c r="B8" s="2">
        <v>4285</v>
      </c>
      <c r="C8" s="5"/>
      <c r="D8" s="11"/>
    </row>
    <row r="9" spans="1:6" x14ac:dyDescent="0.2">
      <c r="A9" s="2" t="s">
        <v>5</v>
      </c>
      <c r="B9" s="2">
        <v>4350</v>
      </c>
      <c r="C9" s="5"/>
      <c r="D9" s="11"/>
    </row>
    <row r="10" spans="1:6" x14ac:dyDescent="0.2">
      <c r="A10" s="2" t="s">
        <v>6</v>
      </c>
      <c r="B10" s="2">
        <v>4360</v>
      </c>
      <c r="C10" s="5"/>
      <c r="D10" s="11"/>
    </row>
    <row r="11" spans="1:6" x14ac:dyDescent="0.2">
      <c r="A11" s="2" t="s">
        <v>7</v>
      </c>
      <c r="B11" s="2">
        <v>4375</v>
      </c>
      <c r="C11" s="5"/>
      <c r="D11" s="11"/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/>
      <c r="D13" s="5"/>
    </row>
    <row r="14" spans="1:6" x14ac:dyDescent="0.2">
      <c r="A14" s="2" t="s">
        <v>9</v>
      </c>
      <c r="B14" s="2">
        <v>5380</v>
      </c>
      <c r="C14" s="11"/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/>
      <c r="D16" s="5"/>
    </row>
    <row r="17" spans="1:4" x14ac:dyDescent="0.2">
      <c r="A17" s="2" t="s">
        <v>11</v>
      </c>
      <c r="B17" s="2">
        <v>4310</v>
      </c>
      <c r="C17" s="11"/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/>
      <c r="D19" s="5"/>
    </row>
    <row r="20" spans="1:4" x14ac:dyDescent="0.2">
      <c r="A20" s="2" t="s">
        <v>13</v>
      </c>
      <c r="B20" s="2">
        <v>4320</v>
      </c>
      <c r="C20" s="11"/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/>
      <c r="D22" s="5"/>
    </row>
    <row r="23" spans="1:4" x14ac:dyDescent="0.2">
      <c r="A23" s="2" t="s">
        <v>15</v>
      </c>
      <c r="B23" s="2">
        <v>4330</v>
      </c>
      <c r="C23" s="11"/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/>
      <c r="D27" s="5"/>
    </row>
    <row r="28" spans="1:4" x14ac:dyDescent="0.2">
      <c r="A28" s="2" t="s">
        <v>18</v>
      </c>
      <c r="B28" s="2">
        <v>4370</v>
      </c>
      <c r="C28" s="11"/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/>
      <c r="D30" s="5"/>
    </row>
    <row r="31" spans="1:4" x14ac:dyDescent="0.2">
      <c r="A31" s="2" t="s">
        <v>20</v>
      </c>
      <c r="B31" s="2">
        <v>4385</v>
      </c>
      <c r="C31" s="11"/>
      <c r="D31" s="5">
        <f>IF(C31&gt;C30,C30,C31)</f>
        <v>0</v>
      </c>
    </row>
    <row r="32" spans="1:4" x14ac:dyDescent="0.2">
      <c r="C32" s="10"/>
      <c r="D32" s="5"/>
    </row>
    <row r="33" spans="1:6" x14ac:dyDescent="0.2">
      <c r="A33" s="2" t="s">
        <v>21</v>
      </c>
      <c r="B33" s="2" t="s">
        <v>22</v>
      </c>
      <c r="C33" s="11"/>
      <c r="D33" s="5"/>
    </row>
    <row r="34" spans="1:6" x14ac:dyDescent="0.2">
      <c r="A34" s="2" t="s">
        <v>23</v>
      </c>
      <c r="B34" s="2" t="s">
        <v>24</v>
      </c>
      <c r="C34" s="11"/>
      <c r="D34" s="5">
        <f>IF(C34&gt;C33,C33,C34)</f>
        <v>0</v>
      </c>
    </row>
    <row r="35" spans="1:6" x14ac:dyDescent="0.2">
      <c r="C35" s="5"/>
      <c r="D35" s="5"/>
    </row>
    <row r="36" spans="1:6" x14ac:dyDescent="0.2">
      <c r="A36" s="2" t="s">
        <v>25</v>
      </c>
      <c r="C36" s="5"/>
      <c r="D36" s="5">
        <f>SUM(D6:D34)</f>
        <v>0</v>
      </c>
    </row>
    <row r="37" spans="1:6" x14ac:dyDescent="0.2">
      <c r="C37" s="5"/>
      <c r="D37" s="5"/>
    </row>
    <row r="38" spans="1:6" x14ac:dyDescent="0.2">
      <c r="A38" s="2" t="s">
        <v>26</v>
      </c>
      <c r="C38" s="5"/>
      <c r="D38" s="5">
        <f>+D4-D36</f>
        <v>0</v>
      </c>
    </row>
    <row r="43" spans="1:6" ht="12" x14ac:dyDescent="0.25">
      <c r="A43" s="1" t="s">
        <v>121</v>
      </c>
      <c r="D43" s="6" t="s">
        <v>27</v>
      </c>
      <c r="E43" s="6" t="s">
        <v>28</v>
      </c>
      <c r="F43" s="6" t="s">
        <v>29</v>
      </c>
    </row>
    <row r="45" spans="1:6" x14ac:dyDescent="0.2">
      <c r="A45" s="2" t="s">
        <v>63</v>
      </c>
      <c r="D45" s="5">
        <f>IF($D$38&gt;83334,83334,D38)</f>
        <v>0</v>
      </c>
      <c r="E45" s="7">
        <v>7.0000000000000007E-2</v>
      </c>
      <c r="F45" s="5">
        <f>D45*E45</f>
        <v>0</v>
      </c>
    </row>
    <row r="46" spans="1:6" x14ac:dyDescent="0.2">
      <c r="A46" s="2" t="s">
        <v>64</v>
      </c>
      <c r="D46" s="5">
        <f>IF($D$38-D45&gt;41666,41666,(IF(D38-83334&gt;0,D38-83334,0)))</f>
        <v>0</v>
      </c>
      <c r="E46" s="8">
        <v>0.155</v>
      </c>
      <c r="F46" s="5">
        <f t="shared" ref="F46" si="0">D46*E46</f>
        <v>0</v>
      </c>
    </row>
    <row r="47" spans="1:6" x14ac:dyDescent="0.2">
      <c r="A47" s="2" t="s">
        <v>65</v>
      </c>
      <c r="D47" s="5">
        <f>IF($D$38-(D46+D45)&gt;83334,83334,(IF($D$38-125000&gt;0,$D$38-125000,0)))</f>
        <v>0</v>
      </c>
      <c r="E47" s="8">
        <v>0.16500000000000001</v>
      </c>
      <c r="F47" s="5">
        <f>D47*E47</f>
        <v>0</v>
      </c>
    </row>
    <row r="48" spans="1:6" x14ac:dyDescent="0.2">
      <c r="A48" s="2" t="s">
        <v>66</v>
      </c>
      <c r="D48" s="5">
        <f>IF(D38&gt;208334,D38-208334,0)</f>
        <v>0</v>
      </c>
      <c r="E48" s="8">
        <v>0.17</v>
      </c>
      <c r="F48" s="5">
        <f>D48*E48</f>
        <v>0</v>
      </c>
    </row>
    <row r="50" spans="1:6" x14ac:dyDescent="0.2">
      <c r="A50" s="2" t="s">
        <v>30</v>
      </c>
      <c r="F50" s="5">
        <f>SUM(F45:F48)</f>
        <v>0</v>
      </c>
    </row>
    <row r="52" spans="1:6" x14ac:dyDescent="0.2">
      <c r="E52" s="14" t="s">
        <v>117</v>
      </c>
      <c r="F52" s="16">
        <f>+October!F50</f>
        <v>0</v>
      </c>
    </row>
    <row r="54" spans="1:6" x14ac:dyDescent="0.2">
      <c r="E54" s="14" t="s">
        <v>118</v>
      </c>
      <c r="F54" s="17">
        <f>+F50-F52</f>
        <v>0</v>
      </c>
    </row>
  </sheetData>
  <mergeCells count="2">
    <mergeCell ref="A1:D1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6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53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>
        <v>0</v>
      </c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>
        <v>0</v>
      </c>
      <c r="F6" s="2" t="s">
        <v>34</v>
      </c>
    </row>
    <row r="7" spans="1:6" x14ac:dyDescent="0.2">
      <c r="A7" s="2" t="s">
        <v>3</v>
      </c>
      <c r="B7" s="2">
        <v>4155</v>
      </c>
      <c r="C7" s="5"/>
      <c r="D7" s="11">
        <v>0</v>
      </c>
    </row>
    <row r="8" spans="1:6" x14ac:dyDescent="0.2">
      <c r="A8" s="2" t="s">
        <v>4</v>
      </c>
      <c r="B8" s="2">
        <v>4285</v>
      </c>
      <c r="C8" s="5"/>
      <c r="D8" s="11">
        <v>0</v>
      </c>
    </row>
    <row r="9" spans="1:6" x14ac:dyDescent="0.2">
      <c r="A9" s="2" t="s">
        <v>5</v>
      </c>
      <c r="B9" s="2">
        <v>4350</v>
      </c>
      <c r="C9" s="5"/>
      <c r="D9" s="11">
        <v>0</v>
      </c>
    </row>
    <row r="10" spans="1:6" x14ac:dyDescent="0.2">
      <c r="A10" s="2" t="s">
        <v>6</v>
      </c>
      <c r="B10" s="2">
        <v>4360</v>
      </c>
      <c r="C10" s="5"/>
      <c r="D10" s="11">
        <v>0</v>
      </c>
    </row>
    <row r="11" spans="1:6" x14ac:dyDescent="0.2">
      <c r="A11" s="2" t="s">
        <v>7</v>
      </c>
      <c r="B11" s="2">
        <v>4375</v>
      </c>
      <c r="C11" s="5"/>
      <c r="D11" s="11">
        <v>0</v>
      </c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>
        <v>0</v>
      </c>
      <c r="D13" s="5"/>
    </row>
    <row r="14" spans="1:6" x14ac:dyDescent="0.2">
      <c r="A14" s="2" t="s">
        <v>9</v>
      </c>
      <c r="B14" s="2">
        <v>5380</v>
      </c>
      <c r="C14" s="11">
        <v>0</v>
      </c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>
        <v>0</v>
      </c>
      <c r="D16" s="5"/>
    </row>
    <row r="17" spans="1:4" x14ac:dyDescent="0.2">
      <c r="A17" s="2" t="s">
        <v>11</v>
      </c>
      <c r="B17" s="2">
        <v>4310</v>
      </c>
      <c r="C17" s="11">
        <v>0</v>
      </c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>
        <v>0</v>
      </c>
      <c r="D19" s="5"/>
    </row>
    <row r="20" spans="1:4" x14ac:dyDescent="0.2">
      <c r="A20" s="2" t="s">
        <v>13</v>
      </c>
      <c r="B20" s="2">
        <v>4320</v>
      </c>
      <c r="C20" s="11">
        <v>0</v>
      </c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>
        <v>0</v>
      </c>
      <c r="D22" s="5"/>
    </row>
    <row r="23" spans="1:4" x14ac:dyDescent="0.2">
      <c r="A23" s="2" t="s">
        <v>15</v>
      </c>
      <c r="B23" s="2">
        <v>4330</v>
      </c>
      <c r="C23" s="11">
        <v>0</v>
      </c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>
        <v>0</v>
      </c>
      <c r="D27" s="5"/>
    </row>
    <row r="28" spans="1:4" x14ac:dyDescent="0.2">
      <c r="A28" s="2" t="s">
        <v>18</v>
      </c>
      <c r="B28" s="2">
        <v>4370</v>
      </c>
      <c r="C28" s="11">
        <v>0</v>
      </c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>
        <v>0</v>
      </c>
      <c r="D30" s="5"/>
    </row>
    <row r="31" spans="1:4" x14ac:dyDescent="0.2">
      <c r="A31" s="2" t="s">
        <v>20</v>
      </c>
      <c r="B31" s="2">
        <v>4385</v>
      </c>
      <c r="C31" s="11">
        <v>0</v>
      </c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>
        <v>0</v>
      </c>
      <c r="D33" s="5"/>
    </row>
    <row r="34" spans="1:8" x14ac:dyDescent="0.2">
      <c r="A34" s="2" t="s">
        <v>23</v>
      </c>
      <c r="B34" s="2" t="s">
        <v>24</v>
      </c>
      <c r="C34" s="11">
        <v>0</v>
      </c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93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45</v>
      </c>
      <c r="D45" s="5">
        <f>IF($D$38&gt;100000,100000,D38)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46</v>
      </c>
      <c r="D46" s="5">
        <f>IF($D$38-D45&gt;50000,50000,(IF(D38-100000&gt;0,D38-100000,0)))</f>
        <v>0</v>
      </c>
      <c r="E46" s="8">
        <v>0.155</v>
      </c>
      <c r="F46" s="5">
        <f t="shared" ref="F46" si="0">D46*E46</f>
        <v>0</v>
      </c>
      <c r="H46" s="2" t="s">
        <v>83</v>
      </c>
    </row>
    <row r="47" spans="1:8" x14ac:dyDescent="0.2">
      <c r="A47" s="2" t="s">
        <v>47</v>
      </c>
      <c r="D47" s="5">
        <f>IF($D$38-(D46+D45)&gt;100000,100000,(IF($D$38-150000&gt;0,$D$38-150000,0)))</f>
        <v>0</v>
      </c>
      <c r="E47" s="8">
        <v>0.16500000000000001</v>
      </c>
      <c r="F47" s="5">
        <f>D47*E47</f>
        <v>0</v>
      </c>
      <c r="H47" s="2" t="s">
        <v>84</v>
      </c>
    </row>
    <row r="48" spans="1:8" x14ac:dyDescent="0.2">
      <c r="A48" s="2" t="s">
        <v>48</v>
      </c>
      <c r="D48" s="5">
        <f>IF(D38&gt;250000,D38-250000,0)</f>
        <v>0</v>
      </c>
      <c r="E48" s="8">
        <v>0.17</v>
      </c>
      <c r="F48" s="5">
        <f>D48*E48</f>
        <v>0</v>
      </c>
      <c r="H48" s="2" t="s">
        <v>85</v>
      </c>
    </row>
    <row r="50" spans="1:6" x14ac:dyDescent="0.2">
      <c r="A50" s="2" t="s">
        <v>30</v>
      </c>
      <c r="E50" s="14" t="s">
        <v>56</v>
      </c>
      <c r="F50" s="5">
        <f>SUM(F45:F48)</f>
        <v>0</v>
      </c>
    </row>
    <row r="52" spans="1:6" x14ac:dyDescent="0.2">
      <c r="E52" s="14" t="s">
        <v>117</v>
      </c>
      <c r="F52" s="16">
        <f>+November!F50</f>
        <v>0</v>
      </c>
    </row>
    <row r="54" spans="1:6" x14ac:dyDescent="0.2">
      <c r="E54" s="14" t="s">
        <v>118</v>
      </c>
      <c r="F54" s="17">
        <f>+F50-F52</f>
        <v>0</v>
      </c>
    </row>
    <row r="56" spans="1:6" x14ac:dyDescent="0.2">
      <c r="E56" s="14"/>
      <c r="F56" s="5"/>
    </row>
  </sheetData>
  <mergeCells count="2">
    <mergeCell ref="C3:D3"/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FB8C-86E2-441F-9D7B-62E463214F85}">
  <dimension ref="A1:H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95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>
        <v>0</v>
      </c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>
        <v>0</v>
      </c>
      <c r="F6" s="2" t="s">
        <v>34</v>
      </c>
    </row>
    <row r="7" spans="1:6" x14ac:dyDescent="0.2">
      <c r="A7" s="2" t="s">
        <v>3</v>
      </c>
      <c r="B7" s="2">
        <v>4155</v>
      </c>
      <c r="C7" s="5"/>
      <c r="D7" s="11">
        <v>0</v>
      </c>
    </row>
    <row r="8" spans="1:6" x14ac:dyDescent="0.2">
      <c r="A8" s="2" t="s">
        <v>4</v>
      </c>
      <c r="B8" s="2">
        <v>4285</v>
      </c>
      <c r="C8" s="5"/>
      <c r="D8" s="11">
        <v>0</v>
      </c>
    </row>
    <row r="9" spans="1:6" x14ac:dyDescent="0.2">
      <c r="A9" s="2" t="s">
        <v>5</v>
      </c>
      <c r="B9" s="2">
        <v>4350</v>
      </c>
      <c r="C9" s="5"/>
      <c r="D9" s="11">
        <v>0</v>
      </c>
    </row>
    <row r="10" spans="1:6" x14ac:dyDescent="0.2">
      <c r="A10" s="2" t="s">
        <v>6</v>
      </c>
      <c r="B10" s="2">
        <v>4360</v>
      </c>
      <c r="C10" s="5"/>
      <c r="D10" s="11">
        <v>0</v>
      </c>
    </row>
    <row r="11" spans="1:6" x14ac:dyDescent="0.2">
      <c r="A11" s="2" t="s">
        <v>7</v>
      </c>
      <c r="B11" s="2">
        <v>4375</v>
      </c>
      <c r="C11" s="5"/>
      <c r="D11" s="11">
        <v>0</v>
      </c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>
        <v>0</v>
      </c>
      <c r="D13" s="5"/>
    </row>
    <row r="14" spans="1:6" x14ac:dyDescent="0.2">
      <c r="A14" s="2" t="s">
        <v>9</v>
      </c>
      <c r="B14" s="2">
        <v>5380</v>
      </c>
      <c r="C14" s="11">
        <v>0</v>
      </c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>
        <v>0</v>
      </c>
      <c r="D16" s="5"/>
    </row>
    <row r="17" spans="1:4" x14ac:dyDescent="0.2">
      <c r="A17" s="2" t="s">
        <v>11</v>
      </c>
      <c r="B17" s="2">
        <v>4310</v>
      </c>
      <c r="C17" s="11">
        <v>0</v>
      </c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>
        <v>0</v>
      </c>
      <c r="D19" s="5"/>
    </row>
    <row r="20" spans="1:4" x14ac:dyDescent="0.2">
      <c r="A20" s="2" t="s">
        <v>13</v>
      </c>
      <c r="B20" s="2">
        <v>4320</v>
      </c>
      <c r="C20" s="11">
        <v>0</v>
      </c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>
        <v>0</v>
      </c>
      <c r="D22" s="5"/>
    </row>
    <row r="23" spans="1:4" x14ac:dyDescent="0.2">
      <c r="A23" s="2" t="s">
        <v>15</v>
      </c>
      <c r="B23" s="2">
        <v>4330</v>
      </c>
      <c r="C23" s="11">
        <v>0</v>
      </c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>
        <v>0</v>
      </c>
      <c r="D27" s="5"/>
    </row>
    <row r="28" spans="1:4" x14ac:dyDescent="0.2">
      <c r="A28" s="2" t="s">
        <v>18</v>
      </c>
      <c r="B28" s="2">
        <v>4370</v>
      </c>
      <c r="C28" s="11">
        <v>0</v>
      </c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>
        <v>0</v>
      </c>
      <c r="D30" s="5"/>
    </row>
    <row r="31" spans="1:4" x14ac:dyDescent="0.2">
      <c r="A31" s="2" t="s">
        <v>20</v>
      </c>
      <c r="B31" s="2">
        <v>4385</v>
      </c>
      <c r="C31" s="11">
        <v>0</v>
      </c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>
        <v>0</v>
      </c>
      <c r="D33" s="5"/>
    </row>
    <row r="34" spans="1:8" x14ac:dyDescent="0.2">
      <c r="A34" s="2" t="s">
        <v>23</v>
      </c>
      <c r="B34" s="2" t="s">
        <v>24</v>
      </c>
      <c r="C34" s="11">
        <v>0</v>
      </c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119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67</v>
      </c>
      <c r="D45" s="5">
        <f>IF($D$38&gt;116667,116667,D38)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68</v>
      </c>
      <c r="D46" s="5">
        <f>IF($D$38-D45&gt;58333,58333,(IF(D38-116667&gt;0,D38-116667,0)))</f>
        <v>0</v>
      </c>
      <c r="E46" s="8">
        <v>0.155</v>
      </c>
      <c r="F46" s="5">
        <f t="shared" ref="F46" si="0">D46*E46</f>
        <v>0</v>
      </c>
    </row>
    <row r="47" spans="1:8" x14ac:dyDescent="0.2">
      <c r="A47" s="2" t="s">
        <v>69</v>
      </c>
      <c r="D47" s="5">
        <f>IF($D$38-(D46+D45)&gt;116667,116667,(IF($D$38-175000&gt;0,$D$38-175000,0)))</f>
        <v>0</v>
      </c>
      <c r="E47" s="8">
        <v>0.16500000000000001</v>
      </c>
      <c r="F47" s="5">
        <f>D47*E47</f>
        <v>0</v>
      </c>
    </row>
    <row r="48" spans="1:8" x14ac:dyDescent="0.2">
      <c r="A48" s="2" t="s">
        <v>70</v>
      </c>
      <c r="D48" s="5">
        <f>IF(D38&gt;291667,D38-291667,0)</f>
        <v>0</v>
      </c>
      <c r="E48" s="8">
        <v>0.17</v>
      </c>
      <c r="F48" s="5">
        <f>D48*E48</f>
        <v>0</v>
      </c>
      <c r="H48" s="2" t="s">
        <v>40</v>
      </c>
    </row>
    <row r="50" spans="1:6" x14ac:dyDescent="0.2">
      <c r="A50" s="2" t="s">
        <v>30</v>
      </c>
      <c r="E50" s="14" t="s">
        <v>56</v>
      </c>
      <c r="F50" s="5">
        <f>SUM(F45:F48)</f>
        <v>0</v>
      </c>
    </row>
    <row r="52" spans="1:6" x14ac:dyDescent="0.2">
      <c r="E52" s="14" t="s">
        <v>117</v>
      </c>
      <c r="F52" s="16">
        <f>+'Q2'!F50</f>
        <v>0</v>
      </c>
    </row>
    <row r="54" spans="1:6" x14ac:dyDescent="0.2">
      <c r="E54" s="14" t="s">
        <v>118</v>
      </c>
      <c r="F54" s="17">
        <f>+F50-F52</f>
        <v>0</v>
      </c>
    </row>
  </sheetData>
  <mergeCells count="2">
    <mergeCell ref="A1:D1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255B-3006-4343-9F5A-5614C5747293}">
  <dimension ref="A1:F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96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>
        <v>0</v>
      </c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>
        <v>0</v>
      </c>
      <c r="F6" s="2" t="s">
        <v>34</v>
      </c>
    </row>
    <row r="7" spans="1:6" x14ac:dyDescent="0.2">
      <c r="A7" s="2" t="s">
        <v>3</v>
      </c>
      <c r="B7" s="2">
        <v>4155</v>
      </c>
      <c r="C7" s="5"/>
      <c r="D7" s="11">
        <v>0</v>
      </c>
    </row>
    <row r="8" spans="1:6" x14ac:dyDescent="0.2">
      <c r="A8" s="2" t="s">
        <v>4</v>
      </c>
      <c r="B8" s="2">
        <v>4285</v>
      </c>
      <c r="C8" s="5"/>
      <c r="D8" s="11">
        <v>0</v>
      </c>
    </row>
    <row r="9" spans="1:6" x14ac:dyDescent="0.2">
      <c r="A9" s="2" t="s">
        <v>5</v>
      </c>
      <c r="B9" s="2">
        <v>4350</v>
      </c>
      <c r="C9" s="5"/>
      <c r="D9" s="11">
        <v>0</v>
      </c>
    </row>
    <row r="10" spans="1:6" x14ac:dyDescent="0.2">
      <c r="A10" s="2" t="s">
        <v>6</v>
      </c>
      <c r="B10" s="2">
        <v>4360</v>
      </c>
      <c r="C10" s="5"/>
      <c r="D10" s="11">
        <v>0</v>
      </c>
    </row>
    <row r="11" spans="1:6" x14ac:dyDescent="0.2">
      <c r="A11" s="2" t="s">
        <v>7</v>
      </c>
      <c r="B11" s="2">
        <v>4375</v>
      </c>
      <c r="C11" s="5"/>
      <c r="D11" s="11">
        <v>0</v>
      </c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>
        <v>0</v>
      </c>
      <c r="D13" s="5"/>
    </row>
    <row r="14" spans="1:6" x14ac:dyDescent="0.2">
      <c r="A14" s="2" t="s">
        <v>9</v>
      </c>
      <c r="B14" s="2">
        <v>5380</v>
      </c>
      <c r="C14" s="11">
        <v>0</v>
      </c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>
        <v>0</v>
      </c>
      <c r="D16" s="5"/>
    </row>
    <row r="17" spans="1:4" x14ac:dyDescent="0.2">
      <c r="A17" s="2" t="s">
        <v>11</v>
      </c>
      <c r="B17" s="2">
        <v>4310</v>
      </c>
      <c r="C17" s="11">
        <v>0</v>
      </c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>
        <v>0</v>
      </c>
      <c r="D19" s="5"/>
    </row>
    <row r="20" spans="1:4" x14ac:dyDescent="0.2">
      <c r="A20" s="2" t="s">
        <v>13</v>
      </c>
      <c r="B20" s="2">
        <v>4320</v>
      </c>
      <c r="C20" s="11">
        <v>0</v>
      </c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>
        <v>0</v>
      </c>
      <c r="D22" s="5"/>
    </row>
    <row r="23" spans="1:4" x14ac:dyDescent="0.2">
      <c r="A23" s="2" t="s">
        <v>15</v>
      </c>
      <c r="B23" s="2">
        <v>4330</v>
      </c>
      <c r="C23" s="11">
        <v>0</v>
      </c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>
        <v>0</v>
      </c>
      <c r="D27" s="5"/>
    </row>
    <row r="28" spans="1:4" x14ac:dyDescent="0.2">
      <c r="A28" s="2" t="s">
        <v>18</v>
      </c>
      <c r="B28" s="2">
        <v>4370</v>
      </c>
      <c r="C28" s="11">
        <v>0</v>
      </c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>
        <v>0</v>
      </c>
      <c r="D30" s="5"/>
    </row>
    <row r="31" spans="1:4" x14ac:dyDescent="0.2">
      <c r="A31" s="2" t="s">
        <v>20</v>
      </c>
      <c r="B31" s="2">
        <v>4385</v>
      </c>
      <c r="C31" s="11">
        <v>0</v>
      </c>
      <c r="D31" s="5">
        <f>IF(C31&gt;C30,C30,C31)</f>
        <v>0</v>
      </c>
    </row>
    <row r="32" spans="1:4" x14ac:dyDescent="0.2">
      <c r="C32" s="10"/>
      <c r="D32" s="5"/>
    </row>
    <row r="33" spans="1:6" x14ac:dyDescent="0.2">
      <c r="A33" s="2" t="s">
        <v>21</v>
      </c>
      <c r="B33" s="2" t="s">
        <v>22</v>
      </c>
      <c r="C33" s="11">
        <v>0</v>
      </c>
      <c r="D33" s="5"/>
    </row>
    <row r="34" spans="1:6" x14ac:dyDescent="0.2">
      <c r="A34" s="2" t="s">
        <v>23</v>
      </c>
      <c r="B34" s="2" t="s">
        <v>24</v>
      </c>
      <c r="C34" s="11">
        <v>0</v>
      </c>
      <c r="D34" s="5">
        <f>IF(C34&gt;C33,C33,C34)</f>
        <v>0</v>
      </c>
    </row>
    <row r="35" spans="1:6" x14ac:dyDescent="0.2">
      <c r="C35" s="5"/>
      <c r="D35" s="5"/>
    </row>
    <row r="36" spans="1:6" x14ac:dyDescent="0.2">
      <c r="A36" s="2" t="s">
        <v>25</v>
      </c>
      <c r="C36" s="5"/>
      <c r="D36" s="5">
        <f>SUM(D6:D34)</f>
        <v>0</v>
      </c>
    </row>
    <row r="37" spans="1:6" x14ac:dyDescent="0.2">
      <c r="C37" s="5"/>
      <c r="D37" s="5"/>
    </row>
    <row r="38" spans="1:6" x14ac:dyDescent="0.2">
      <c r="A38" s="2" t="s">
        <v>26</v>
      </c>
      <c r="C38" s="5"/>
      <c r="D38" s="5">
        <f>+D4-D36</f>
        <v>0</v>
      </c>
    </row>
    <row r="43" spans="1:6" ht="12" x14ac:dyDescent="0.25">
      <c r="A43" s="1" t="s">
        <v>122</v>
      </c>
      <c r="D43" s="6" t="s">
        <v>27</v>
      </c>
      <c r="E43" s="6" t="s">
        <v>28</v>
      </c>
      <c r="F43" s="6" t="s">
        <v>29</v>
      </c>
    </row>
    <row r="45" spans="1:6" x14ac:dyDescent="0.2">
      <c r="A45" s="2" t="s">
        <v>72</v>
      </c>
      <c r="D45" s="5">
        <f>IF($D$38&gt;133333,133333,D38)</f>
        <v>0</v>
      </c>
      <c r="E45" s="7">
        <v>7.0000000000000007E-2</v>
      </c>
      <c r="F45" s="5">
        <f>D45*E45</f>
        <v>0</v>
      </c>
    </row>
    <row r="46" spans="1:6" x14ac:dyDescent="0.2">
      <c r="A46" s="2" t="s">
        <v>73</v>
      </c>
      <c r="D46" s="5">
        <f>IF($D$38-D45&gt;66666,66666,(IF(D38-133333&gt;0,D38-133333,0)))</f>
        <v>0</v>
      </c>
      <c r="E46" s="8">
        <v>0.155</v>
      </c>
      <c r="F46" s="5">
        <f t="shared" ref="F46" si="0">D46*E46</f>
        <v>0</v>
      </c>
    </row>
    <row r="47" spans="1:6" x14ac:dyDescent="0.2">
      <c r="A47" s="2" t="s">
        <v>74</v>
      </c>
      <c r="D47" s="5">
        <f>IF($D$38-(D46+D45)&gt;133333,133333,(IF($D$38-200000&gt;0,$D$38-200000,0)))</f>
        <v>0</v>
      </c>
      <c r="E47" s="8">
        <v>0.16500000000000001</v>
      </c>
      <c r="F47" s="5">
        <f>D47*E47</f>
        <v>0</v>
      </c>
    </row>
    <row r="48" spans="1:6" x14ac:dyDescent="0.2">
      <c r="A48" s="2" t="s">
        <v>75</v>
      </c>
      <c r="D48" s="5">
        <f>IF(D38&gt;333332,D38-33332,0)</f>
        <v>0</v>
      </c>
      <c r="E48" s="8">
        <v>0.17</v>
      </c>
      <c r="F48" s="5">
        <f>D48*E48</f>
        <v>0</v>
      </c>
    </row>
    <row r="50" spans="1:6" x14ac:dyDescent="0.2">
      <c r="A50" s="2" t="s">
        <v>30</v>
      </c>
      <c r="E50" s="14" t="s">
        <v>56</v>
      </c>
      <c r="F50" s="5">
        <f>SUM(F45:F48)</f>
        <v>0</v>
      </c>
    </row>
    <row r="52" spans="1:6" x14ac:dyDescent="0.2">
      <c r="E52" s="14" t="s">
        <v>117</v>
      </c>
      <c r="F52" s="16">
        <f>+January!F50</f>
        <v>0</v>
      </c>
    </row>
    <row r="54" spans="1:6" x14ac:dyDescent="0.2">
      <c r="E54" s="14" t="s">
        <v>118</v>
      </c>
      <c r="F54" s="17">
        <f>+F50-F52</f>
        <v>0</v>
      </c>
    </row>
  </sheetData>
  <mergeCells count="2">
    <mergeCell ref="A1:D1"/>
    <mergeCell ref="C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54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9">
        <v>0</v>
      </c>
      <c r="F4" s="12" t="s">
        <v>33</v>
      </c>
    </row>
    <row r="5" spans="1:6" x14ac:dyDescent="0.2">
      <c r="C5" s="5"/>
      <c r="D5" s="10"/>
    </row>
    <row r="6" spans="1:6" x14ac:dyDescent="0.2">
      <c r="A6" s="2" t="s">
        <v>2</v>
      </c>
      <c r="B6" s="2">
        <v>4280</v>
      </c>
      <c r="C6" s="5"/>
      <c r="D6" s="11">
        <v>0</v>
      </c>
      <c r="F6" s="2" t="s">
        <v>34</v>
      </c>
    </row>
    <row r="7" spans="1:6" x14ac:dyDescent="0.2">
      <c r="A7" s="2" t="s">
        <v>3</v>
      </c>
      <c r="B7" s="2">
        <v>4155</v>
      </c>
      <c r="C7" s="5"/>
      <c r="D7" s="11">
        <v>0</v>
      </c>
    </row>
    <row r="8" spans="1:6" x14ac:dyDescent="0.2">
      <c r="A8" s="2" t="s">
        <v>4</v>
      </c>
      <c r="B8" s="2">
        <v>4285</v>
      </c>
      <c r="C8" s="5"/>
      <c r="D8" s="11">
        <v>0</v>
      </c>
    </row>
    <row r="9" spans="1:6" x14ac:dyDescent="0.2">
      <c r="A9" s="2" t="s">
        <v>5</v>
      </c>
      <c r="B9" s="2">
        <v>4350</v>
      </c>
      <c r="C9" s="5"/>
      <c r="D9" s="11">
        <v>0</v>
      </c>
    </row>
    <row r="10" spans="1:6" x14ac:dyDescent="0.2">
      <c r="A10" s="2" t="s">
        <v>6</v>
      </c>
      <c r="B10" s="2">
        <v>4360</v>
      </c>
      <c r="C10" s="5"/>
      <c r="D10" s="11">
        <v>0</v>
      </c>
    </row>
    <row r="11" spans="1:6" x14ac:dyDescent="0.2">
      <c r="A11" s="2" t="s">
        <v>7</v>
      </c>
      <c r="B11" s="2">
        <v>4375</v>
      </c>
      <c r="C11" s="5"/>
      <c r="D11" s="11">
        <v>0</v>
      </c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>
        <v>0</v>
      </c>
      <c r="D13" s="5"/>
    </row>
    <row r="14" spans="1:6" x14ac:dyDescent="0.2">
      <c r="A14" s="2" t="s">
        <v>9</v>
      </c>
      <c r="B14" s="2">
        <v>5380</v>
      </c>
      <c r="C14" s="11">
        <v>0</v>
      </c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>
        <v>0</v>
      </c>
      <c r="D16" s="5"/>
    </row>
    <row r="17" spans="1:4" x14ac:dyDescent="0.2">
      <c r="A17" s="2" t="s">
        <v>11</v>
      </c>
      <c r="B17" s="2">
        <v>4310</v>
      </c>
      <c r="C17" s="11">
        <v>0</v>
      </c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>
        <v>0</v>
      </c>
      <c r="D19" s="5"/>
    </row>
    <row r="20" spans="1:4" x14ac:dyDescent="0.2">
      <c r="A20" s="2" t="s">
        <v>13</v>
      </c>
      <c r="B20" s="2">
        <v>4320</v>
      </c>
      <c r="C20" s="11">
        <v>0</v>
      </c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>
        <v>0</v>
      </c>
      <c r="D22" s="5"/>
    </row>
    <row r="23" spans="1:4" x14ac:dyDescent="0.2">
      <c r="A23" s="2" t="s">
        <v>15</v>
      </c>
      <c r="B23" s="2">
        <v>4330</v>
      </c>
      <c r="C23" s="11">
        <v>0</v>
      </c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>
        <v>0</v>
      </c>
      <c r="D27" s="5"/>
    </row>
    <row r="28" spans="1:4" x14ac:dyDescent="0.2">
      <c r="A28" s="2" t="s">
        <v>18</v>
      </c>
      <c r="B28" s="2">
        <v>4370</v>
      </c>
      <c r="C28" s="11">
        <v>0</v>
      </c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>
        <v>0</v>
      </c>
      <c r="D30" s="5"/>
    </row>
    <row r="31" spans="1:4" x14ac:dyDescent="0.2">
      <c r="A31" s="2" t="s">
        <v>20</v>
      </c>
      <c r="B31" s="2">
        <v>4385</v>
      </c>
      <c r="C31" s="11">
        <v>0</v>
      </c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>
        <v>0</v>
      </c>
      <c r="D33" s="5"/>
    </row>
    <row r="34" spans="1:8" x14ac:dyDescent="0.2">
      <c r="A34" s="2" t="s">
        <v>23</v>
      </c>
      <c r="B34" s="2" t="s">
        <v>24</v>
      </c>
      <c r="C34" s="11">
        <v>0</v>
      </c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71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123</v>
      </c>
      <c r="D45" s="5">
        <f>IF($D$38&gt;150000,150000,D38)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49</v>
      </c>
      <c r="D46" s="5">
        <f>IF($D$38-D45&gt;75000,75000,(IF(D38-150000&gt;0,D38-150000,0)))</f>
        <v>0</v>
      </c>
      <c r="E46" s="8">
        <v>0.155</v>
      </c>
      <c r="F46" s="5">
        <f t="shared" ref="F46" si="0">D46*E46</f>
        <v>0</v>
      </c>
      <c r="H46" s="2" t="s">
        <v>84</v>
      </c>
    </row>
    <row r="47" spans="1:8" x14ac:dyDescent="0.2">
      <c r="A47" s="2" t="s">
        <v>50</v>
      </c>
      <c r="D47" s="5">
        <f>IF($D$38-(D46+D45)&gt;150000,150000,(IF($D$38-225000&gt;0,$D$38-225000,0)))</f>
        <v>0</v>
      </c>
      <c r="E47" s="8">
        <v>0.16500000000000001</v>
      </c>
      <c r="F47" s="5">
        <f>D47*E47</f>
        <v>0</v>
      </c>
      <c r="H47" s="2" t="s">
        <v>86</v>
      </c>
    </row>
    <row r="48" spans="1:8" x14ac:dyDescent="0.2">
      <c r="A48" s="2" t="s">
        <v>51</v>
      </c>
      <c r="D48" s="5">
        <f>IF(D38&gt;375000,D38-375000,0)</f>
        <v>0</v>
      </c>
      <c r="E48" s="8">
        <v>0.17</v>
      </c>
      <c r="F48" s="5">
        <f>D48*E48</f>
        <v>0</v>
      </c>
      <c r="H48" s="2" t="s">
        <v>87</v>
      </c>
    </row>
    <row r="50" spans="1:6" x14ac:dyDescent="0.2">
      <c r="A50" s="2" t="s">
        <v>30</v>
      </c>
      <c r="E50" s="14" t="s">
        <v>56</v>
      </c>
      <c r="F50" s="5">
        <f>SUM(F45:F48)</f>
        <v>0</v>
      </c>
    </row>
    <row r="52" spans="1:6" x14ac:dyDescent="0.2">
      <c r="E52" s="14" t="s">
        <v>117</v>
      </c>
      <c r="F52" s="16">
        <f>+February!F50</f>
        <v>0</v>
      </c>
    </row>
    <row r="54" spans="1:6" x14ac:dyDescent="0.2">
      <c r="E54" s="14" t="s">
        <v>118</v>
      </c>
      <c r="F54" s="17">
        <f>+F50-F52</f>
        <v>0</v>
      </c>
    </row>
  </sheetData>
  <sheetProtection selectLockedCells="1"/>
  <mergeCells count="2">
    <mergeCell ref="C3:D3"/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6894-2699-42D2-B063-421CFDDC9CDC}">
  <dimension ref="A1:F55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97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11">
        <v>0</v>
      </c>
      <c r="F4" s="12" t="s">
        <v>33</v>
      </c>
    </row>
    <row r="5" spans="1:6" x14ac:dyDescent="0.2">
      <c r="C5" s="5"/>
      <c r="D5" s="10"/>
      <c r="F5" s="12"/>
    </row>
    <row r="6" spans="1:6" x14ac:dyDescent="0.2">
      <c r="A6" s="2" t="s">
        <v>2</v>
      </c>
      <c r="B6" s="2">
        <v>4280</v>
      </c>
      <c r="C6" s="5"/>
      <c r="D6" s="11">
        <v>0</v>
      </c>
      <c r="F6" s="13" t="s">
        <v>34</v>
      </c>
    </row>
    <row r="7" spans="1:6" x14ac:dyDescent="0.2">
      <c r="A7" s="2" t="s">
        <v>3</v>
      </c>
      <c r="B7" s="2">
        <v>4155</v>
      </c>
      <c r="C7" s="5"/>
      <c r="D7" s="11">
        <v>0</v>
      </c>
    </row>
    <row r="8" spans="1:6" x14ac:dyDescent="0.2">
      <c r="A8" s="2" t="s">
        <v>4</v>
      </c>
      <c r="B8" s="2">
        <v>4285</v>
      </c>
      <c r="C8" s="5"/>
      <c r="D8" s="11">
        <v>0</v>
      </c>
    </row>
    <row r="9" spans="1:6" x14ac:dyDescent="0.2">
      <c r="A9" s="2" t="s">
        <v>5</v>
      </c>
      <c r="B9" s="2">
        <v>4350</v>
      </c>
      <c r="C9" s="5"/>
      <c r="D9" s="11">
        <v>0</v>
      </c>
    </row>
    <row r="10" spans="1:6" x14ac:dyDescent="0.2">
      <c r="A10" s="2" t="s">
        <v>6</v>
      </c>
      <c r="B10" s="2">
        <v>4360</v>
      </c>
      <c r="C10" s="5"/>
      <c r="D10" s="11">
        <v>0</v>
      </c>
    </row>
    <row r="11" spans="1:6" x14ac:dyDescent="0.2">
      <c r="A11" s="2" t="s">
        <v>7</v>
      </c>
      <c r="B11" s="2">
        <v>4375</v>
      </c>
      <c r="C11" s="5"/>
      <c r="D11" s="11">
        <v>0</v>
      </c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>
        <v>0</v>
      </c>
      <c r="D13" s="5"/>
    </row>
    <row r="14" spans="1:6" x14ac:dyDescent="0.2">
      <c r="A14" s="2" t="s">
        <v>9</v>
      </c>
      <c r="B14" s="2">
        <v>5380</v>
      </c>
      <c r="C14" s="11">
        <v>0</v>
      </c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>
        <v>0</v>
      </c>
      <c r="D16" s="5"/>
    </row>
    <row r="17" spans="1:4" x14ac:dyDescent="0.2">
      <c r="A17" s="2" t="s">
        <v>11</v>
      </c>
      <c r="B17" s="2">
        <v>4310</v>
      </c>
      <c r="C17" s="11">
        <v>0</v>
      </c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>
        <v>0</v>
      </c>
      <c r="D19" s="5"/>
    </row>
    <row r="20" spans="1:4" x14ac:dyDescent="0.2">
      <c r="A20" s="2" t="s">
        <v>13</v>
      </c>
      <c r="B20" s="2">
        <v>4320</v>
      </c>
      <c r="C20" s="11">
        <v>0</v>
      </c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>
        <v>0</v>
      </c>
      <c r="D22" s="5"/>
    </row>
    <row r="23" spans="1:4" x14ac:dyDescent="0.2">
      <c r="A23" s="2" t="s">
        <v>15</v>
      </c>
      <c r="B23" s="2">
        <v>4330</v>
      </c>
      <c r="C23" s="11">
        <v>0</v>
      </c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>
        <v>0</v>
      </c>
      <c r="D27" s="5"/>
    </row>
    <row r="28" spans="1:4" x14ac:dyDescent="0.2">
      <c r="A28" s="2" t="s">
        <v>18</v>
      </c>
      <c r="B28" s="2">
        <v>4370</v>
      </c>
      <c r="C28" s="11">
        <v>0</v>
      </c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>
        <v>0</v>
      </c>
      <c r="D30" s="5"/>
    </row>
    <row r="31" spans="1:4" x14ac:dyDescent="0.2">
      <c r="A31" s="2" t="s">
        <v>20</v>
      </c>
      <c r="B31" s="2">
        <v>4385</v>
      </c>
      <c r="C31" s="11">
        <v>0</v>
      </c>
      <c r="D31" s="5">
        <f>IF(C31&gt;C30,C30,C31)</f>
        <v>0</v>
      </c>
    </row>
    <row r="32" spans="1:4" x14ac:dyDescent="0.2">
      <c r="C32" s="10"/>
      <c r="D32" s="5"/>
    </row>
    <row r="33" spans="1:6" x14ac:dyDescent="0.2">
      <c r="A33" s="2" t="s">
        <v>21</v>
      </c>
      <c r="B33" s="2" t="s">
        <v>22</v>
      </c>
      <c r="C33" s="11">
        <v>0</v>
      </c>
      <c r="D33" s="5"/>
    </row>
    <row r="34" spans="1:6" x14ac:dyDescent="0.2">
      <c r="A34" s="2" t="s">
        <v>23</v>
      </c>
      <c r="B34" s="2" t="s">
        <v>24</v>
      </c>
      <c r="C34" s="11">
        <v>0</v>
      </c>
      <c r="D34" s="5">
        <f>IF(C34&gt;C33,C33,C34)</f>
        <v>0</v>
      </c>
    </row>
    <row r="35" spans="1:6" x14ac:dyDescent="0.2">
      <c r="C35" s="5"/>
      <c r="D35" s="5"/>
    </row>
    <row r="36" spans="1:6" x14ac:dyDescent="0.2">
      <c r="A36" s="2" t="s">
        <v>25</v>
      </c>
      <c r="C36" s="5"/>
      <c r="D36" s="5">
        <f>SUM(D6:D34)</f>
        <v>0</v>
      </c>
    </row>
    <row r="37" spans="1:6" x14ac:dyDescent="0.2">
      <c r="C37" s="5"/>
      <c r="D37" s="5"/>
    </row>
    <row r="38" spans="1:6" x14ac:dyDescent="0.2">
      <c r="A38" s="2" t="s">
        <v>26</v>
      </c>
      <c r="C38" s="5"/>
      <c r="D38" s="5">
        <f>+D4-D36</f>
        <v>0</v>
      </c>
    </row>
    <row r="43" spans="1:6" ht="12" x14ac:dyDescent="0.25">
      <c r="A43" s="1" t="s">
        <v>94</v>
      </c>
      <c r="D43" s="6" t="s">
        <v>27</v>
      </c>
      <c r="E43" s="6" t="s">
        <v>28</v>
      </c>
      <c r="F43" s="6" t="s">
        <v>29</v>
      </c>
    </row>
    <row r="45" spans="1:6" x14ac:dyDescent="0.2">
      <c r="A45" s="2" t="s">
        <v>76</v>
      </c>
      <c r="D45" s="5">
        <f>IF($D$38&gt;166667,166667,D38)</f>
        <v>0</v>
      </c>
      <c r="E45" s="7">
        <v>7.0000000000000007E-2</v>
      </c>
      <c r="F45" s="5">
        <f>D45*E45</f>
        <v>0</v>
      </c>
    </row>
    <row r="46" spans="1:6" x14ac:dyDescent="0.2">
      <c r="A46" s="2" t="s">
        <v>77</v>
      </c>
      <c r="D46" s="5">
        <f>IF($D$38-D45&gt;83333,83333,(IF(D38-166667&gt;0,D38-166667,0)))</f>
        <v>0</v>
      </c>
      <c r="E46" s="8">
        <v>0.155</v>
      </c>
      <c r="F46" s="5">
        <f t="shared" ref="F46" si="0">D46*E46</f>
        <v>0</v>
      </c>
    </row>
    <row r="47" spans="1:6" x14ac:dyDescent="0.2">
      <c r="A47" s="2" t="s">
        <v>78</v>
      </c>
      <c r="D47" s="5">
        <f>IF($D$38-(D46+D45)&gt;166667,166667,(IF($D$38-250000&gt;0,$D$38-250000,0)))</f>
        <v>0</v>
      </c>
      <c r="E47" s="8">
        <v>0.16500000000000001</v>
      </c>
      <c r="F47" s="5">
        <f>D47*E47</f>
        <v>0</v>
      </c>
    </row>
    <row r="48" spans="1:6" x14ac:dyDescent="0.2">
      <c r="A48" s="2" t="s">
        <v>79</v>
      </c>
      <c r="D48" s="5">
        <f>IF(D38&gt;416667,D38-416667,0)</f>
        <v>0</v>
      </c>
      <c r="E48" s="8">
        <v>0.17</v>
      </c>
      <c r="F48" s="5">
        <f>D48*E48</f>
        <v>0</v>
      </c>
    </row>
    <row r="50" spans="5:6" x14ac:dyDescent="0.2">
      <c r="E50" s="14" t="s">
        <v>55</v>
      </c>
      <c r="F50" s="5">
        <f>SUM(F45:F48)</f>
        <v>0</v>
      </c>
    </row>
    <row r="52" spans="5:6" x14ac:dyDescent="0.2">
      <c r="E52" s="14" t="s">
        <v>117</v>
      </c>
      <c r="F52" s="2">
        <f>+'Q3'!F50</f>
        <v>0</v>
      </c>
    </row>
    <row r="54" spans="5:6" ht="12" thickBot="1" x14ac:dyDescent="0.25">
      <c r="E54" s="14" t="s">
        <v>118</v>
      </c>
      <c r="F54" s="15">
        <f>+F50-F52</f>
        <v>0</v>
      </c>
    </row>
    <row r="55" spans="5:6" ht="12" thickTop="1" x14ac:dyDescent="0.2"/>
  </sheetData>
  <mergeCells count="2">
    <mergeCell ref="A1:D1"/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0E10-CBE9-4159-B893-74211A63ECBF}">
  <dimension ref="A1:F55"/>
  <sheetViews>
    <sheetView workbookViewId="0">
      <selection activeCell="A4" sqref="A4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98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11">
        <v>0</v>
      </c>
      <c r="F4" s="12" t="s">
        <v>33</v>
      </c>
    </row>
    <row r="5" spans="1:6" x14ac:dyDescent="0.2">
      <c r="C5" s="5"/>
      <c r="D5" s="10"/>
      <c r="F5" s="12"/>
    </row>
    <row r="6" spans="1:6" x14ac:dyDescent="0.2">
      <c r="A6" s="2" t="s">
        <v>2</v>
      </c>
      <c r="B6" s="2">
        <v>4280</v>
      </c>
      <c r="C6" s="5"/>
      <c r="D6" s="11">
        <v>0</v>
      </c>
      <c r="F6" s="13" t="s">
        <v>34</v>
      </c>
    </row>
    <row r="7" spans="1:6" x14ac:dyDescent="0.2">
      <c r="A7" s="2" t="s">
        <v>3</v>
      </c>
      <c r="B7" s="2">
        <v>4155</v>
      </c>
      <c r="C7" s="5"/>
      <c r="D7" s="11">
        <v>0</v>
      </c>
    </row>
    <row r="8" spans="1:6" x14ac:dyDescent="0.2">
      <c r="A8" s="2" t="s">
        <v>4</v>
      </c>
      <c r="B8" s="2">
        <v>4285</v>
      </c>
      <c r="C8" s="5"/>
      <c r="D8" s="11">
        <v>0</v>
      </c>
    </row>
    <row r="9" spans="1:6" x14ac:dyDescent="0.2">
      <c r="A9" s="2" t="s">
        <v>5</v>
      </c>
      <c r="B9" s="2">
        <v>4350</v>
      </c>
      <c r="C9" s="5"/>
      <c r="D9" s="11">
        <v>0</v>
      </c>
    </row>
    <row r="10" spans="1:6" x14ac:dyDescent="0.2">
      <c r="A10" s="2" t="s">
        <v>6</v>
      </c>
      <c r="B10" s="2">
        <v>4360</v>
      </c>
      <c r="C10" s="5"/>
      <c r="D10" s="11">
        <v>0</v>
      </c>
    </row>
    <row r="11" spans="1:6" x14ac:dyDescent="0.2">
      <c r="A11" s="2" t="s">
        <v>7</v>
      </c>
      <c r="B11" s="2">
        <v>4375</v>
      </c>
      <c r="C11" s="5"/>
      <c r="D11" s="11">
        <v>0</v>
      </c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>
        <v>0</v>
      </c>
      <c r="D13" s="5"/>
    </row>
    <row r="14" spans="1:6" x14ac:dyDescent="0.2">
      <c r="A14" s="2" t="s">
        <v>9</v>
      </c>
      <c r="B14" s="2">
        <v>5380</v>
      </c>
      <c r="C14" s="11">
        <v>0</v>
      </c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>
        <v>0</v>
      </c>
      <c r="D16" s="5"/>
    </row>
    <row r="17" spans="1:4" x14ac:dyDescent="0.2">
      <c r="A17" s="2" t="s">
        <v>11</v>
      </c>
      <c r="B17" s="2">
        <v>4310</v>
      </c>
      <c r="C17" s="11">
        <v>0</v>
      </c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>
        <v>0</v>
      </c>
      <c r="D19" s="5"/>
    </row>
    <row r="20" spans="1:4" x14ac:dyDescent="0.2">
      <c r="A20" s="2" t="s">
        <v>13</v>
      </c>
      <c r="B20" s="2">
        <v>4320</v>
      </c>
      <c r="C20" s="11">
        <v>0</v>
      </c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>
        <v>0</v>
      </c>
      <c r="D22" s="5"/>
    </row>
    <row r="23" spans="1:4" x14ac:dyDescent="0.2">
      <c r="A23" s="2" t="s">
        <v>15</v>
      </c>
      <c r="B23" s="2">
        <v>4330</v>
      </c>
      <c r="C23" s="11">
        <v>0</v>
      </c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>
        <v>0</v>
      </c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>
        <v>0</v>
      </c>
      <c r="D27" s="5"/>
    </row>
    <row r="28" spans="1:4" x14ac:dyDescent="0.2">
      <c r="A28" s="2" t="s">
        <v>18</v>
      </c>
      <c r="B28" s="2">
        <v>4370</v>
      </c>
      <c r="C28" s="11">
        <v>0</v>
      </c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>
        <v>0</v>
      </c>
      <c r="D30" s="5"/>
    </row>
    <row r="31" spans="1:4" x14ac:dyDescent="0.2">
      <c r="A31" s="2" t="s">
        <v>20</v>
      </c>
      <c r="B31" s="2">
        <v>4385</v>
      </c>
      <c r="C31" s="11">
        <v>0</v>
      </c>
      <c r="D31" s="5">
        <f>IF(C31&gt;C30,C30,C31)</f>
        <v>0</v>
      </c>
    </row>
    <row r="32" spans="1:4" x14ac:dyDescent="0.2">
      <c r="C32" s="10"/>
      <c r="D32" s="5"/>
    </row>
    <row r="33" spans="1:6" x14ac:dyDescent="0.2">
      <c r="A33" s="2" t="s">
        <v>21</v>
      </c>
      <c r="B33" s="2" t="s">
        <v>22</v>
      </c>
      <c r="C33" s="11">
        <v>0</v>
      </c>
      <c r="D33" s="5"/>
    </row>
    <row r="34" spans="1:6" x14ac:dyDescent="0.2">
      <c r="A34" s="2" t="s">
        <v>23</v>
      </c>
      <c r="B34" s="2" t="s">
        <v>24</v>
      </c>
      <c r="C34" s="11">
        <v>0</v>
      </c>
      <c r="D34" s="5">
        <f>IF(C34&gt;C33,C33,C34)</f>
        <v>0</v>
      </c>
    </row>
    <row r="35" spans="1:6" x14ac:dyDescent="0.2">
      <c r="C35" s="5"/>
      <c r="D35" s="5"/>
    </row>
    <row r="36" spans="1:6" x14ac:dyDescent="0.2">
      <c r="A36" s="2" t="s">
        <v>25</v>
      </c>
      <c r="C36" s="5"/>
      <c r="D36" s="5">
        <f>SUM(D6:D34)</f>
        <v>0</v>
      </c>
    </row>
    <row r="37" spans="1:6" x14ac:dyDescent="0.2">
      <c r="C37" s="5"/>
      <c r="D37" s="5"/>
    </row>
    <row r="38" spans="1:6" x14ac:dyDescent="0.2">
      <c r="A38" s="2" t="s">
        <v>26</v>
      </c>
      <c r="C38" s="5"/>
      <c r="D38" s="5">
        <f>+D4-D36</f>
        <v>0</v>
      </c>
    </row>
    <row r="43" spans="1:6" ht="12" x14ac:dyDescent="0.25">
      <c r="A43" s="1" t="s">
        <v>94</v>
      </c>
      <c r="D43" s="6" t="s">
        <v>27</v>
      </c>
      <c r="E43" s="6" t="s">
        <v>28</v>
      </c>
      <c r="F43" s="6" t="s">
        <v>29</v>
      </c>
    </row>
    <row r="45" spans="1:6" x14ac:dyDescent="0.2">
      <c r="A45" s="2" t="s">
        <v>88</v>
      </c>
      <c r="D45" s="5">
        <f>IF($D$38&gt;183334,183334,D38)</f>
        <v>0</v>
      </c>
      <c r="E45" s="7">
        <v>7.0000000000000007E-2</v>
      </c>
      <c r="F45" s="5">
        <f>D45*E45</f>
        <v>0</v>
      </c>
    </row>
    <row r="46" spans="1:6" x14ac:dyDescent="0.2">
      <c r="A46" s="2" t="s">
        <v>89</v>
      </c>
      <c r="D46" s="5">
        <f>IF($D$38-D45&gt;91666,91666,(IF(D38-183334&gt;0,D38-183334,0)))</f>
        <v>0</v>
      </c>
      <c r="E46" s="8">
        <v>0.155</v>
      </c>
      <c r="F46" s="5">
        <f t="shared" ref="F46" si="0">D46*E46</f>
        <v>0</v>
      </c>
    </row>
    <row r="47" spans="1:6" x14ac:dyDescent="0.2">
      <c r="A47" s="2" t="s">
        <v>90</v>
      </c>
      <c r="D47" s="5">
        <f>IF($D$38-(D46+D45)&gt;183334,183334,(IF($D$38-275000&gt;0,$D$38-275000,0)))</f>
        <v>0</v>
      </c>
      <c r="E47" s="8">
        <v>0.16500000000000001</v>
      </c>
      <c r="F47" s="5">
        <f>D47*E47</f>
        <v>0</v>
      </c>
    </row>
    <row r="48" spans="1:6" x14ac:dyDescent="0.2">
      <c r="A48" s="2" t="s">
        <v>91</v>
      </c>
      <c r="D48" s="5">
        <f>IF(D38&gt;458334,D38-458334,0)</f>
        <v>0</v>
      </c>
      <c r="E48" s="8">
        <v>0.17</v>
      </c>
      <c r="F48" s="5">
        <f>D48*E48</f>
        <v>0</v>
      </c>
    </row>
    <row r="50" spans="5:6" x14ac:dyDescent="0.2">
      <c r="E50" s="14" t="s">
        <v>55</v>
      </c>
      <c r="F50" s="5">
        <f>SUM(F45:F48)</f>
        <v>0</v>
      </c>
    </row>
    <row r="52" spans="5:6" x14ac:dyDescent="0.2">
      <c r="E52" s="14" t="s">
        <v>117</v>
      </c>
      <c r="F52" s="2">
        <f>+April!F50</f>
        <v>0</v>
      </c>
    </row>
    <row r="54" spans="5:6" ht="12" thickBot="1" x14ac:dyDescent="0.25">
      <c r="E54" s="14" t="s">
        <v>118</v>
      </c>
      <c r="F54" s="15">
        <f>+F50-F52</f>
        <v>0</v>
      </c>
    </row>
    <row r="55" spans="5:6" ht="12" thickTop="1" x14ac:dyDescent="0.2"/>
  </sheetData>
  <mergeCells count="2">
    <mergeCell ref="A1:D1"/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workbookViewId="0">
      <selection activeCell="L26" sqref="L26"/>
    </sheetView>
  </sheetViews>
  <sheetFormatPr defaultColWidth="8.88671875" defaultRowHeight="11.4" x14ac:dyDescent="0.2"/>
  <cols>
    <col min="1" max="1" width="52.109375" style="2" bestFit="1" customWidth="1"/>
    <col min="2" max="2" width="8.88671875" style="2"/>
    <col min="3" max="3" width="10.33203125" style="2" customWidth="1"/>
    <col min="4" max="4" width="12.109375" style="2" customWidth="1"/>
    <col min="5" max="5" width="8.88671875" style="2"/>
    <col min="6" max="6" width="11.5546875" style="2" customWidth="1"/>
    <col min="7" max="16384" width="8.88671875" style="2"/>
  </cols>
  <sheetData>
    <row r="1" spans="1:6" ht="15.6" x14ac:dyDescent="0.3">
      <c r="A1" s="19" t="s">
        <v>99</v>
      </c>
      <c r="B1" s="19"/>
      <c r="C1" s="19"/>
      <c r="D1" s="19"/>
    </row>
    <row r="3" spans="1:6" ht="24" x14ac:dyDescent="0.25">
      <c r="A3" s="3" t="s">
        <v>0</v>
      </c>
      <c r="B3" s="4" t="s">
        <v>1</v>
      </c>
      <c r="C3" s="18" t="s">
        <v>31</v>
      </c>
      <c r="D3" s="18"/>
    </row>
    <row r="4" spans="1:6" x14ac:dyDescent="0.2">
      <c r="A4" s="2" t="s">
        <v>124</v>
      </c>
      <c r="C4" s="5"/>
      <c r="D4" s="11"/>
      <c r="F4" s="12" t="s">
        <v>33</v>
      </c>
    </row>
    <row r="5" spans="1:6" x14ac:dyDescent="0.2">
      <c r="C5" s="5"/>
      <c r="D5" s="10"/>
      <c r="F5" s="12"/>
    </row>
    <row r="6" spans="1:6" x14ac:dyDescent="0.2">
      <c r="A6" s="2" t="s">
        <v>2</v>
      </c>
      <c r="B6" s="2">
        <v>4280</v>
      </c>
      <c r="C6" s="5"/>
      <c r="D6" s="11"/>
      <c r="F6" s="13" t="s">
        <v>34</v>
      </c>
    </row>
    <row r="7" spans="1:6" x14ac:dyDescent="0.2">
      <c r="A7" s="2" t="s">
        <v>3</v>
      </c>
      <c r="B7" s="2">
        <v>4155</v>
      </c>
      <c r="C7" s="5"/>
      <c r="D7" s="11"/>
    </row>
    <row r="8" spans="1:6" x14ac:dyDescent="0.2">
      <c r="A8" s="2" t="s">
        <v>4</v>
      </c>
      <c r="B8" s="2">
        <v>4285</v>
      </c>
      <c r="C8" s="5"/>
      <c r="D8" s="11"/>
    </row>
    <row r="9" spans="1:6" x14ac:dyDescent="0.2">
      <c r="A9" s="2" t="s">
        <v>5</v>
      </c>
      <c r="B9" s="2">
        <v>4350</v>
      </c>
      <c r="C9" s="5"/>
      <c r="D9" s="11"/>
    </row>
    <row r="10" spans="1:6" x14ac:dyDescent="0.2">
      <c r="A10" s="2" t="s">
        <v>6</v>
      </c>
      <c r="B10" s="2">
        <v>4360</v>
      </c>
      <c r="C10" s="5"/>
      <c r="D10" s="11"/>
    </row>
    <row r="11" spans="1:6" x14ac:dyDescent="0.2">
      <c r="A11" s="2" t="s">
        <v>7</v>
      </c>
      <c r="B11" s="2">
        <v>4375</v>
      </c>
      <c r="C11" s="5"/>
      <c r="D11" s="11"/>
    </row>
    <row r="12" spans="1:6" x14ac:dyDescent="0.2">
      <c r="C12" s="5"/>
      <c r="D12" s="5"/>
    </row>
    <row r="13" spans="1:6" x14ac:dyDescent="0.2">
      <c r="A13" s="2" t="s">
        <v>8</v>
      </c>
      <c r="B13" s="2">
        <v>4380</v>
      </c>
      <c r="C13" s="11"/>
      <c r="D13" s="5"/>
    </row>
    <row r="14" spans="1:6" x14ac:dyDescent="0.2">
      <c r="A14" s="2" t="s">
        <v>9</v>
      </c>
      <c r="B14" s="2">
        <v>5380</v>
      </c>
      <c r="C14" s="11"/>
      <c r="D14" s="5">
        <f>IF(C14&gt;C13,C13,C14)</f>
        <v>0</v>
      </c>
    </row>
    <row r="15" spans="1:6" x14ac:dyDescent="0.2">
      <c r="C15" s="10"/>
      <c r="D15" s="5"/>
    </row>
    <row r="16" spans="1:6" x14ac:dyDescent="0.2">
      <c r="A16" s="2" t="s">
        <v>10</v>
      </c>
      <c r="B16" s="2">
        <v>5310</v>
      </c>
      <c r="C16" s="11"/>
      <c r="D16" s="5"/>
    </row>
    <row r="17" spans="1:4" x14ac:dyDescent="0.2">
      <c r="A17" s="2" t="s">
        <v>11</v>
      </c>
      <c r="B17" s="2">
        <v>4310</v>
      </c>
      <c r="C17" s="11"/>
      <c r="D17" s="5">
        <f>IF(C17&gt;C16,C16,C17)</f>
        <v>0</v>
      </c>
    </row>
    <row r="18" spans="1:4" x14ac:dyDescent="0.2">
      <c r="C18" s="10"/>
      <c r="D18" s="5"/>
    </row>
    <row r="19" spans="1:4" x14ac:dyDescent="0.2">
      <c r="A19" s="2" t="s">
        <v>12</v>
      </c>
      <c r="B19" s="2">
        <v>5320</v>
      </c>
      <c r="C19" s="11"/>
      <c r="D19" s="5"/>
    </row>
    <row r="20" spans="1:4" x14ac:dyDescent="0.2">
      <c r="A20" s="2" t="s">
        <v>13</v>
      </c>
      <c r="B20" s="2">
        <v>4320</v>
      </c>
      <c r="C20" s="11"/>
      <c r="D20" s="5">
        <f>IF(C20&gt;C19,C19,C20)</f>
        <v>0</v>
      </c>
    </row>
    <row r="21" spans="1:4" x14ac:dyDescent="0.2">
      <c r="C21" s="10"/>
      <c r="D21" s="5"/>
    </row>
    <row r="22" spans="1:4" x14ac:dyDescent="0.2">
      <c r="A22" s="2" t="s">
        <v>14</v>
      </c>
      <c r="B22" s="2">
        <v>5330</v>
      </c>
      <c r="C22" s="11"/>
      <c r="D22" s="5"/>
    </row>
    <row r="23" spans="1:4" x14ac:dyDescent="0.2">
      <c r="A23" s="2" t="s">
        <v>15</v>
      </c>
      <c r="B23" s="2">
        <v>4330</v>
      </c>
      <c r="C23" s="11"/>
      <c r="D23" s="5">
        <f>IF(C23&gt;C22,C22,C23)</f>
        <v>0</v>
      </c>
    </row>
    <row r="24" spans="1:4" x14ac:dyDescent="0.2">
      <c r="C24" s="10"/>
      <c r="D24" s="5"/>
    </row>
    <row r="25" spans="1:4" x14ac:dyDescent="0.2">
      <c r="A25" s="2" t="s">
        <v>16</v>
      </c>
      <c r="B25" s="2">
        <v>5340</v>
      </c>
      <c r="C25" s="10"/>
      <c r="D25" s="11"/>
    </row>
    <row r="26" spans="1:4" x14ac:dyDescent="0.2">
      <c r="C26" s="10"/>
      <c r="D26" s="5"/>
    </row>
    <row r="27" spans="1:4" x14ac:dyDescent="0.2">
      <c r="A27" s="2" t="s">
        <v>17</v>
      </c>
      <c r="B27" s="2">
        <v>5370</v>
      </c>
      <c r="C27" s="11"/>
      <c r="D27" s="5"/>
    </row>
    <row r="28" spans="1:4" x14ac:dyDescent="0.2">
      <c r="A28" s="2" t="s">
        <v>18</v>
      </c>
      <c r="B28" s="2">
        <v>4370</v>
      </c>
      <c r="C28" s="11"/>
      <c r="D28" s="5">
        <f>IF(C28&gt;C27,C27,C28)</f>
        <v>0</v>
      </c>
    </row>
    <row r="29" spans="1:4" x14ac:dyDescent="0.2">
      <c r="C29" s="10"/>
      <c r="D29" s="5"/>
    </row>
    <row r="30" spans="1:4" x14ac:dyDescent="0.2">
      <c r="A30" s="2" t="s">
        <v>19</v>
      </c>
      <c r="B30" s="2">
        <v>5385</v>
      </c>
      <c r="C30" s="11"/>
      <c r="D30" s="5"/>
    </row>
    <row r="31" spans="1:4" x14ac:dyDescent="0.2">
      <c r="A31" s="2" t="s">
        <v>20</v>
      </c>
      <c r="B31" s="2">
        <v>4385</v>
      </c>
      <c r="C31" s="11"/>
      <c r="D31" s="5">
        <f>IF(C31&gt;C30,C30,C31)</f>
        <v>0</v>
      </c>
    </row>
    <row r="32" spans="1:4" x14ac:dyDescent="0.2">
      <c r="C32" s="10"/>
      <c r="D32" s="5"/>
    </row>
    <row r="33" spans="1:8" x14ac:dyDescent="0.2">
      <c r="A33" s="2" t="s">
        <v>21</v>
      </c>
      <c r="B33" s="2" t="s">
        <v>22</v>
      </c>
      <c r="C33" s="11"/>
      <c r="D33" s="5"/>
    </row>
    <row r="34" spans="1:8" x14ac:dyDescent="0.2">
      <c r="A34" s="2" t="s">
        <v>23</v>
      </c>
      <c r="B34" s="2" t="s">
        <v>24</v>
      </c>
      <c r="C34" s="11"/>
      <c r="D34" s="5">
        <f>IF(C34&gt;C33,C33,C34)</f>
        <v>0</v>
      </c>
    </row>
    <row r="35" spans="1:8" x14ac:dyDescent="0.2">
      <c r="C35" s="5"/>
      <c r="D35" s="5"/>
    </row>
    <row r="36" spans="1:8" x14ac:dyDescent="0.2">
      <c r="A36" s="2" t="s">
        <v>25</v>
      </c>
      <c r="C36" s="5"/>
      <c r="D36" s="5">
        <f>SUM(D6:D34)</f>
        <v>0</v>
      </c>
    </row>
    <row r="37" spans="1:8" x14ac:dyDescent="0.2">
      <c r="C37" s="5"/>
      <c r="D37" s="5"/>
    </row>
    <row r="38" spans="1:8" x14ac:dyDescent="0.2">
      <c r="A38" s="2" t="s">
        <v>26</v>
      </c>
      <c r="C38" s="5"/>
      <c r="D38" s="5">
        <f>+D4-D36</f>
        <v>0</v>
      </c>
    </row>
    <row r="43" spans="1:8" ht="12" x14ac:dyDescent="0.25">
      <c r="A43" s="1" t="s">
        <v>94</v>
      </c>
      <c r="D43" s="6" t="s">
        <v>27</v>
      </c>
      <c r="E43" s="6" t="s">
        <v>28</v>
      </c>
      <c r="F43" s="6" t="s">
        <v>29</v>
      </c>
    </row>
    <row r="45" spans="1:8" x14ac:dyDescent="0.2">
      <c r="A45" s="2" t="s">
        <v>35</v>
      </c>
      <c r="D45" s="5">
        <f>IF($D$38&gt;200000,200000,D38)</f>
        <v>0</v>
      </c>
      <c r="E45" s="7">
        <v>7.0000000000000007E-2</v>
      </c>
      <c r="F45" s="5">
        <f>D45*E45</f>
        <v>0</v>
      </c>
    </row>
    <row r="46" spans="1:8" x14ac:dyDescent="0.2">
      <c r="A46" s="2" t="s">
        <v>36</v>
      </c>
      <c r="D46" s="5">
        <f>IF($D$38-D45&gt;100000,100000,(IF(D38-200000&gt;0,D38-200000,0)))</f>
        <v>0</v>
      </c>
      <c r="E46" s="8">
        <v>0.155</v>
      </c>
      <c r="F46" s="5">
        <f t="shared" ref="F46" si="0">D46*E46</f>
        <v>0</v>
      </c>
      <c r="H46" s="2" t="s">
        <v>32</v>
      </c>
    </row>
    <row r="47" spans="1:8" x14ac:dyDescent="0.2">
      <c r="A47" s="2" t="s">
        <v>37</v>
      </c>
      <c r="D47" s="5">
        <f>IF($D$38-(D46+D45)&gt;200000,200000,(IF($D$38-300000&gt;0,$D$38-300000,0)))</f>
        <v>0</v>
      </c>
      <c r="E47" s="8">
        <v>0.16500000000000001</v>
      </c>
      <c r="F47" s="5">
        <f>D47*E47</f>
        <v>0</v>
      </c>
      <c r="H47" s="2" t="s">
        <v>39</v>
      </c>
    </row>
    <row r="48" spans="1:8" x14ac:dyDescent="0.2">
      <c r="A48" s="2" t="s">
        <v>38</v>
      </c>
      <c r="D48" s="5">
        <f>IF(D38&gt;500000,D38-500000,0)</f>
        <v>0</v>
      </c>
      <c r="E48" s="8">
        <v>0.17</v>
      </c>
      <c r="F48" s="5">
        <f>D48*E48</f>
        <v>0</v>
      </c>
      <c r="H48" s="2" t="s">
        <v>40</v>
      </c>
    </row>
    <row r="50" spans="5:6" x14ac:dyDescent="0.2">
      <c r="E50" s="14" t="s">
        <v>55</v>
      </c>
      <c r="F50" s="5">
        <f>SUM(F45:F48)</f>
        <v>0</v>
      </c>
    </row>
    <row r="52" spans="5:6" x14ac:dyDescent="0.2">
      <c r="E52" s="14" t="s">
        <v>117</v>
      </c>
      <c r="F52" s="2">
        <f>+May!F50</f>
        <v>0</v>
      </c>
    </row>
    <row r="54" spans="5:6" ht="12" thickBot="1" x14ac:dyDescent="0.25">
      <c r="E54" s="14" t="s">
        <v>118</v>
      </c>
      <c r="F54" s="15">
        <f>+F50-F52</f>
        <v>0</v>
      </c>
    </row>
    <row r="55" spans="5:6" ht="12" thickTop="1" x14ac:dyDescent="0.2"/>
  </sheetData>
  <sheetProtection selectLockedCells="1"/>
  <mergeCells count="2">
    <mergeCell ref="C3:D3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August</vt:lpstr>
      <vt:lpstr>Q1</vt:lpstr>
      <vt:lpstr>October</vt:lpstr>
      <vt:lpstr>November</vt:lpstr>
      <vt:lpstr>Q2</vt:lpstr>
      <vt:lpstr>January</vt:lpstr>
      <vt:lpstr>February</vt:lpstr>
      <vt:lpstr>Q3</vt:lpstr>
      <vt:lpstr>April</vt:lpstr>
      <vt:lpstr>May</vt:lpstr>
      <vt:lpstr>Annual Cath</vt:lpstr>
    </vt:vector>
  </TitlesOfParts>
  <Company>AOB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Andrews, Jane</dc:creator>
  <cp:lastModifiedBy>Jane Andrews</cp:lastModifiedBy>
  <cp:lastPrinted>2019-08-19T21:37:56Z</cp:lastPrinted>
  <dcterms:created xsi:type="dcterms:W3CDTF">2019-06-27T16:31:13Z</dcterms:created>
  <dcterms:modified xsi:type="dcterms:W3CDTF">2026-10-30T20:19:21Z</dcterms:modified>
</cp:coreProperties>
</file>